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'Arkusz1'!$A$1:$N$442</definedName>
  </definedNames>
  <calcPr fullCalcOnLoad="1"/>
</workbook>
</file>

<file path=xl/sharedStrings.xml><?xml version="1.0" encoding="utf-8"?>
<sst xmlns="http://schemas.openxmlformats.org/spreadsheetml/2006/main" count="737" uniqueCount="146">
  <si>
    <t>Dział</t>
  </si>
  <si>
    <t>Rozdz.</t>
  </si>
  <si>
    <t>2008 r.</t>
  </si>
  <si>
    <t>2009 r.</t>
  </si>
  <si>
    <t>Lp.</t>
  </si>
  <si>
    <t>Planowane wydatki</t>
  </si>
  <si>
    <t>Jednostka organizacyjna realizująca program lub koordynująca wykonanie programu</t>
  </si>
  <si>
    <t>Nazwa zadania inwestycyjnego</t>
  </si>
  <si>
    <t>Okres realizacji</t>
  </si>
  <si>
    <t>Łączne nakłady finansowe           ( w zł.)</t>
  </si>
  <si>
    <t>Źródła finansowania</t>
  </si>
  <si>
    <t>2010 r.</t>
  </si>
  <si>
    <t>2011 r.</t>
  </si>
  <si>
    <t>2012 r.</t>
  </si>
  <si>
    <t>2013 r.</t>
  </si>
  <si>
    <t>Ogółem:</t>
  </si>
  <si>
    <t>środki JST</t>
  </si>
  <si>
    <t>kredyty, pożyczki i obligacje</t>
  </si>
  <si>
    <t>inne środki</t>
  </si>
  <si>
    <t>Przebudowa nawierzchni ulic na osiedlu Radzikowo III: Perłowa, Tęczowa i Koralowa wraz z ich odwodnieniem</t>
  </si>
  <si>
    <t>Budowa ul. Koralowej</t>
  </si>
  <si>
    <t>Przebudowa ul. Perłowej</t>
  </si>
  <si>
    <t>Modernizacja portu Rybackiego w Kołobrzegu - etap II</t>
  </si>
  <si>
    <t>Modernizacja portu Rybackiego - etap III - budowa nabrzeża dla łodzi rybackich</t>
  </si>
  <si>
    <t xml:space="preserve">Modernizacja nawierzchni dróg na osiedlu Podczele: </t>
  </si>
  <si>
    <t>Przebudowa ul. Lwowskiej</t>
  </si>
  <si>
    <t>Przebudowa ul. Brzeskiej</t>
  </si>
  <si>
    <t>Przebudowa ul. Tarnopolskiej</t>
  </si>
  <si>
    <t>Przebudowa ul. Wileńskiej</t>
  </si>
  <si>
    <t>Przebudowa ul. Krzemienieckiej</t>
  </si>
  <si>
    <t>Przebudowa ul. Grodzieńskiej</t>
  </si>
  <si>
    <t>Przebudowa ul. Poleskiej</t>
  </si>
  <si>
    <t>Przebudowa ul. Podolskiej</t>
  </si>
  <si>
    <t>Przebudowa ul. Pińskiej</t>
  </si>
  <si>
    <t>Przebudowa ulic: Radomska, Lotnicza i Warcisława III</t>
  </si>
  <si>
    <t>Przebudowa ul. Radomskiej</t>
  </si>
  <si>
    <t>Przebudowa ul. Warcisława III</t>
  </si>
  <si>
    <t>Przebudowa ul. Kresowej</t>
  </si>
  <si>
    <t>Modernizacja ul. Kołłątaja</t>
  </si>
  <si>
    <t>Modernizacja ul. Krakusa i Wandy</t>
  </si>
  <si>
    <t>Przebudowa ul. Wiosennej</t>
  </si>
  <si>
    <t>Przebudowa ul. Chopina</t>
  </si>
  <si>
    <t xml:space="preserve">Drogi na osiedlu Radzikowo IV wraz z kanalizacją deszczową w tym: </t>
  </si>
  <si>
    <t>ul. Moniuszki</t>
  </si>
  <si>
    <t xml:space="preserve">Drogi na osiedlu Witkowice III - budowa w tym: </t>
  </si>
  <si>
    <t>ul. Orłowskiego</t>
  </si>
  <si>
    <t>ul. Gierymskich</t>
  </si>
  <si>
    <t>ul. Skoczylasa</t>
  </si>
  <si>
    <t>ul. Makowskiego</t>
  </si>
  <si>
    <t>ul. Michałowskiego</t>
  </si>
  <si>
    <t xml:space="preserve">Drogi na osiedlu domów jednorodzinnych przy ul. 6 Dyw. Piechoty w tym: </t>
  </si>
  <si>
    <t>ul. Kmicica</t>
  </si>
  <si>
    <t>ul. Wołodyjowskiego</t>
  </si>
  <si>
    <t>ul. Ketlinga</t>
  </si>
  <si>
    <t>ul. Zagłoby</t>
  </si>
  <si>
    <t>ul. Hajduczka</t>
  </si>
  <si>
    <t>ul. Kiemliczów</t>
  </si>
  <si>
    <t>ul. Billewiczówny</t>
  </si>
  <si>
    <t>ul. Skrzetuskiego</t>
  </si>
  <si>
    <t>ul. Kordeckiego</t>
  </si>
  <si>
    <t xml:space="preserve">Budowa dróg na os. Domów wielorodzinnych przy ul. 6 Dyw. Piechoty "Os. Europejskie" w tym: </t>
  </si>
  <si>
    <t>ul. Brukselska</t>
  </si>
  <si>
    <t>ul. Helslińska</t>
  </si>
  <si>
    <t>ul. Sztokholmska</t>
  </si>
  <si>
    <t>Budowa dworca pasażerskiego dla Żeglugi Międzynarodowej Promowej w Kołobrzegu</t>
  </si>
  <si>
    <t>Budowa ul. Szarych Szeregów</t>
  </si>
  <si>
    <t>Poprawa transgranicznej infrastruktury turystycznej nabrzeża rzeki Parsęty przy Latarni Morskiej w Kołobrzegu</t>
  </si>
  <si>
    <t>Monitoring tv miasta</t>
  </si>
  <si>
    <t>Rozbudowa Szkoły Podstawowej nr 6 - wykonanie dokumentacji i budowa</t>
  </si>
  <si>
    <t>Budowa i modernizacja zespołu boisk przy Szkole Podstawowej nr 4</t>
  </si>
  <si>
    <t>Przebudowa boiska szkolnego przy Gimnazjum nr 3</t>
  </si>
  <si>
    <t>Zabezpieczenie przeciwpowodziowe dzielnicy zachodniej wraz budową odpływu do morza w km 36+150</t>
  </si>
  <si>
    <t>Rewitalizacja parków miejskich</t>
  </si>
  <si>
    <t>Toalety publiczne na terenie miasta Kołobrzeg</t>
  </si>
  <si>
    <t>Schronisko dla zwierząt</t>
  </si>
  <si>
    <t>Przebudowa Biblioteki Publicznej</t>
  </si>
  <si>
    <t>Plac rekreacyjno - sportowy z kortem tenisowym i torem do jazdy na deskorolce na osiedlu Ogrody - S.2.1.</t>
  </si>
  <si>
    <t>Zagospodarowanie placu rekreacyjno sportowego z budową muszli koncertowej kompleksowo - Wylotowa 80 A</t>
  </si>
  <si>
    <t>Odbudowa wałów przeciwpowodziowych chroniących tereny miejskie leżącemiędzy Parsętą a Kanałem Drzewnym i ul. 6 Dywizji Piechoty w Kołobrzegu</t>
  </si>
  <si>
    <t>Odbudowa odpływu do morza w km 330+750 w rejonie ulicy Sułkowskiego</t>
  </si>
  <si>
    <t>Modernizacja istniejącego systemu deszczowego- rejon ul. IV Dywizji Wojska Polskiego , Wschodniej</t>
  </si>
  <si>
    <t>Modernizacja wylotu do morza w km 331+370 wraz z przebudową istniejącej kanalizacji deszczowej w rejonie ulicy A. Fredry i Szańca Kamiennego</t>
  </si>
  <si>
    <t>Odbudowa odpływu do morza w km 326+875 w rejonie ul. Brzeskiej</t>
  </si>
  <si>
    <t>Modernizacja istniejących odpływów kanalizacji deszczowej odprowadzających wody opadowe i roztopowe do rzeki Parsęty, Kanału Drzewnego oraz Stramniczki ( montaż separatorów, klap zwrotnych )</t>
  </si>
  <si>
    <t>Przebudowa systemu deszczowego odprowadzającego wody deszczowe i roztopowe z rejonu ulicy Myśliwskiej, Kupieckiej, Ogrodowej.</t>
  </si>
  <si>
    <t>Odbudowa odpływu do morza - rejon Grobli, Podczele</t>
  </si>
  <si>
    <t>Budowa ronda na skrzyżowaniu ulic 1-go Maja, Jedności Narodowej, Wolności, Mazowiecka</t>
  </si>
  <si>
    <t>Gmina Miasto Kołobrzeg</t>
  </si>
  <si>
    <t xml:space="preserve"> </t>
  </si>
  <si>
    <t>Dźwiękowy System Ostrzegonia - MOSiR</t>
  </si>
  <si>
    <t>Budowa kładki nad rzeką Parstą</t>
  </si>
  <si>
    <t>Urząd Morski i Gmina Miasto Kołobrzeg</t>
  </si>
  <si>
    <t>2008-2010</t>
  </si>
  <si>
    <t>2008-2009</t>
  </si>
  <si>
    <t>2009-2010</t>
  </si>
  <si>
    <t>2008-2011</t>
  </si>
  <si>
    <t>2010-2011</t>
  </si>
  <si>
    <t>2010-2012</t>
  </si>
  <si>
    <t>2009-2011</t>
  </si>
  <si>
    <t>2008-2013</t>
  </si>
  <si>
    <t>2008-2012</t>
  </si>
  <si>
    <t>2009-2013</t>
  </si>
  <si>
    <t>2010-2013</t>
  </si>
  <si>
    <t>RAZEM</t>
  </si>
  <si>
    <t>Zachodniopomorski Zarząd Melioracji i Urządzeń Wodnych.            Gmina Miasto Kołobrzeg</t>
  </si>
  <si>
    <t>Termomodernizacja obiektów użyteczności publicznej z tego:</t>
  </si>
  <si>
    <t>Budowa Obiektów Socjalnych</t>
  </si>
  <si>
    <t xml:space="preserve">Termomodernizacja Szkoły Podstawowej nr 5 z oddziałami integracyjnymi przy ul. Arciszewskiego </t>
  </si>
  <si>
    <t>Remont brzegowych umocnień liniowych i przyczółków oraz odbudowa koryta rzeki Parsęty w km 2+180 - 2+720 jako element zabezpieczenia przeciwpowodziowego miasta Kołobrzeg w tym:</t>
  </si>
  <si>
    <t>Przebudowa dróg na osiedlu Radzikowo II: Bosmańska, Kapitańska, Marynarska, Partyzantów, Pierwszych Osadników, Synów Pułku, Zbowidowców Żeglarska.</t>
  </si>
  <si>
    <t>Limity wydatków na wieloletnie programy inwestycyjne w latach 2008-2013</t>
  </si>
  <si>
    <t xml:space="preserve">Termomodernizacja Gimnazjum nr 3                    </t>
  </si>
  <si>
    <t xml:space="preserve">Renowacja budynku Ratusza </t>
  </si>
  <si>
    <t>Przebudowa ul. Janiska</t>
  </si>
  <si>
    <t>Budowa boiska szkolnego przy Szkole Podstawowej nr 8</t>
  </si>
  <si>
    <t>Przebudowa deszczówki w ul. Kościuszki</t>
  </si>
  <si>
    <t xml:space="preserve">Modernizacja i rozbudowa Portu Jachtowego w Kołobrzegu -Etap I            </t>
  </si>
  <si>
    <t xml:space="preserve">Przebudowa ul. Rodziewiczówny    </t>
  </si>
  <si>
    <r>
      <t xml:space="preserve">Budowa ścieżki rowerowej do Grzybowa z odwodnieniem  </t>
    </r>
    <r>
      <rPr>
        <b/>
        <sz val="11"/>
        <color indexed="10"/>
        <rFont val="Arial"/>
        <family val="2"/>
      </rPr>
      <t xml:space="preserve"> </t>
    </r>
  </si>
  <si>
    <r>
      <t xml:space="preserve">Poprawa dostępności do Portu Kołobrzeg od strony lądu (drogi i kolej). Etap I   </t>
    </r>
    <r>
      <rPr>
        <b/>
        <sz val="11"/>
        <color indexed="10"/>
        <rFont val="Arial"/>
        <family val="2"/>
      </rPr>
      <t xml:space="preserve"> </t>
    </r>
  </si>
  <si>
    <t xml:space="preserve">Poprawa dostępności do Portu Kołobrzeg od strony lądu (drogi i kolej). Etap II  </t>
  </si>
  <si>
    <t xml:space="preserve">Poprawa dostępności do Portu Kołobrzeg od strony lądu. Etap III   </t>
  </si>
  <si>
    <t xml:space="preserve">Poprawa infrastruktury transportu publicznego w Kołobrzegu-budowa zajezdni autobusowej   </t>
  </si>
  <si>
    <r>
      <t xml:space="preserve">Budowa sieci informatycznej miasta  </t>
    </r>
    <r>
      <rPr>
        <b/>
        <sz val="11"/>
        <color indexed="10"/>
        <rFont val="Arial"/>
        <family val="2"/>
      </rPr>
      <t xml:space="preserve"> </t>
    </r>
  </si>
  <si>
    <t xml:space="preserve">Ochrona brzegu morskiego, rewitalizacja plaż - refulacja, budowa ostróg.  </t>
  </si>
  <si>
    <t xml:space="preserve">Budowa i modernizacja kanalizacji deszczowej na terenie miasta:os. Radzikowo II, okolice ulicy Wylotowej, okolice Amfiteatru.   </t>
  </si>
  <si>
    <t xml:space="preserve">Rewitalizacja parku nadmorskiego, ścieżka ruchowa  </t>
  </si>
  <si>
    <t xml:space="preserve">Przebudowa brzegowych umocnień liniowych rzeki Parsęty na odcinku pomiędzy ul. Kamienną i ul. Łopuskiego w Kołobrzegu  </t>
  </si>
  <si>
    <t xml:space="preserve">Regionalne Centrum Kultury w Kołobrzegu - etap I i II         </t>
  </si>
  <si>
    <t xml:space="preserve">Regionalne Centrum Sportu - zagospodarowanie terenów sportowych przy ul Śliwińskiego   </t>
  </si>
  <si>
    <t xml:space="preserve">Zachodniopomorski Program Szkolenia Młodzieży Piłkarskiej i Rozwoju Infrastrukturu Sportowej EUROBOISKA    </t>
  </si>
  <si>
    <t xml:space="preserve">Korty tenisowe  </t>
  </si>
  <si>
    <t>Termomodernizacja Pprzedszkola nr 3</t>
  </si>
  <si>
    <t>Termomodernizacja Przedszkola nr 8</t>
  </si>
  <si>
    <t>Termomodernizacja Przedszkola nr 7</t>
  </si>
  <si>
    <t>Centrum Pomocy Społecznej i Współdziałania z Organizacjami Pozarządowymi</t>
  </si>
  <si>
    <t>2008 - 2010</t>
  </si>
  <si>
    <t>Budowa zespołu boisk w ramach Programu "Moje boisko Orlik 2012" przy Szkole Podstawowej nr 5</t>
  </si>
  <si>
    <t>Rady Miasta Kołobrzeg</t>
  </si>
  <si>
    <t>z dnia ..................... 2008 r.</t>
  </si>
  <si>
    <t xml:space="preserve">z dnia 19 grudnia 2007 r. </t>
  </si>
  <si>
    <t xml:space="preserve"> zmieniający załącznik Nr 5 do uchwały Nr XVI/186/07</t>
  </si>
  <si>
    <t xml:space="preserve">Budowa oświetlenia podwórek i latarni morskiej </t>
  </si>
  <si>
    <t>Budowa ciągu komunikacyjnego osiedla Radzikowo III do morza</t>
  </si>
  <si>
    <r>
      <t xml:space="preserve">Budowa ciągu pieszo-rowerowego od ul. Brzeskiej do granic miasta z gm. Ustronie Morskie </t>
    </r>
    <r>
      <rPr>
        <b/>
        <sz val="11"/>
        <color indexed="10"/>
        <rFont val="Arial"/>
        <family val="2"/>
      </rPr>
      <t xml:space="preserve"> </t>
    </r>
  </si>
  <si>
    <t>Załącznik Nr 4 do Uchwały Nr .../.../08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</si>
</sst>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zł&quot;"/>
    <numFmt numFmtId="173" formatCode="#,##0.00\ _z_ł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000"/>
  </numFmts>
  <fonts count="15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b/>
      <sz val="14"/>
      <name val="Arial CE"/>
      <family val="0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73" fontId="10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0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73" fontId="4" fillId="0" borderId="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8" fontId="10" fillId="0" borderId="1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9" fillId="0" borderId="6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173" fontId="10" fillId="2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73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7"/>
  <sheetViews>
    <sheetView tabSelected="1" view="pageBreakPreview" zoomScale="75" zoomScaleSheetLayoutView="75" workbookViewId="0" topLeftCell="A1">
      <selection activeCell="N2" sqref="N2"/>
    </sheetView>
  </sheetViews>
  <sheetFormatPr defaultColWidth="9.00390625" defaultRowHeight="12.75"/>
  <cols>
    <col min="1" max="1" width="4.75390625" style="2" customWidth="1"/>
    <col min="2" max="3" width="9.125" style="2" customWidth="1"/>
    <col min="4" max="4" width="46.125" style="2" customWidth="1"/>
    <col min="5" max="5" width="16.875" style="2" customWidth="1"/>
    <col min="6" max="6" width="11.125" style="2" customWidth="1"/>
    <col min="7" max="7" width="14.75390625" style="2" customWidth="1"/>
    <col min="8" max="8" width="13.375" style="2" customWidth="1"/>
    <col min="9" max="9" width="13.875" style="2" bestFit="1" customWidth="1"/>
    <col min="10" max="14" width="13.875" style="2" customWidth="1"/>
    <col min="15" max="15" width="9.125" style="2" customWidth="1"/>
    <col min="16" max="16" width="9.625" style="2" bestFit="1" customWidth="1"/>
    <col min="17" max="16384" width="9.125" style="2" customWidth="1"/>
  </cols>
  <sheetData>
    <row r="1" ht="12.75">
      <c r="N1" s="28" t="s">
        <v>145</v>
      </c>
    </row>
    <row r="2" ht="12.75">
      <c r="N2" s="29" t="s">
        <v>138</v>
      </c>
    </row>
    <row r="3" ht="12.75">
      <c r="N3" s="29" t="s">
        <v>139</v>
      </c>
    </row>
    <row r="4" spans="3:14" ht="14.25" customHeight="1">
      <c r="C4" s="14"/>
      <c r="D4" s="14"/>
      <c r="E4" s="14"/>
      <c r="F4" s="14"/>
      <c r="G4" s="14"/>
      <c r="H4" s="14"/>
      <c r="I4" s="55" t="s">
        <v>141</v>
      </c>
      <c r="J4" s="55"/>
      <c r="K4" s="55"/>
      <c r="L4" s="55"/>
      <c r="M4" s="55"/>
      <c r="N4" s="55"/>
    </row>
    <row r="5" spans="3:14" ht="14.25" customHeight="1">
      <c r="C5" s="14"/>
      <c r="D5" s="14"/>
      <c r="E5" s="14"/>
      <c r="F5" s="14"/>
      <c r="G5" s="14"/>
      <c r="H5" s="14"/>
      <c r="I5" s="14"/>
      <c r="J5" s="14"/>
      <c r="K5" s="14"/>
      <c r="L5" s="54" t="s">
        <v>138</v>
      </c>
      <c r="M5" s="54"/>
      <c r="N5" s="54"/>
    </row>
    <row r="6" spans="3:14" ht="15.75">
      <c r="C6" s="14"/>
      <c r="D6" s="14"/>
      <c r="E6" s="14"/>
      <c r="F6" s="14"/>
      <c r="G6" s="14"/>
      <c r="H6" s="14"/>
      <c r="I6" s="14"/>
      <c r="J6" s="14"/>
      <c r="K6" s="14"/>
      <c r="L6" s="54" t="s">
        <v>140</v>
      </c>
      <c r="M6" s="54"/>
      <c r="N6" s="54"/>
    </row>
    <row r="7" spans="1:14" ht="18" customHeight="1">
      <c r="A7" s="53" t="s">
        <v>110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ht="1.5" customHeight="1"/>
    <row r="9" spans="1:14" ht="12.75">
      <c r="A9" s="69" t="s">
        <v>4</v>
      </c>
      <c r="B9" s="69" t="s">
        <v>0</v>
      </c>
      <c r="C9" s="69" t="s">
        <v>1</v>
      </c>
      <c r="D9" s="59" t="s">
        <v>7</v>
      </c>
      <c r="E9" s="66" t="s">
        <v>6</v>
      </c>
      <c r="F9" s="15"/>
      <c r="G9" s="59" t="s">
        <v>9</v>
      </c>
      <c r="H9" s="66" t="s">
        <v>10</v>
      </c>
      <c r="I9" s="60" t="s">
        <v>5</v>
      </c>
      <c r="J9" s="61"/>
      <c r="K9" s="61"/>
      <c r="L9" s="61"/>
      <c r="M9" s="61"/>
      <c r="N9" s="62"/>
    </row>
    <row r="10" spans="1:14" ht="25.5">
      <c r="A10" s="69"/>
      <c r="B10" s="69"/>
      <c r="C10" s="69"/>
      <c r="D10" s="59"/>
      <c r="E10" s="67"/>
      <c r="F10" s="18" t="s">
        <v>8</v>
      </c>
      <c r="G10" s="59"/>
      <c r="H10" s="67"/>
      <c r="I10" s="63"/>
      <c r="J10" s="64"/>
      <c r="K10" s="64"/>
      <c r="L10" s="64"/>
      <c r="M10" s="64"/>
      <c r="N10" s="65"/>
    </row>
    <row r="11" spans="1:14" ht="12.75">
      <c r="A11" s="69"/>
      <c r="B11" s="69"/>
      <c r="C11" s="69"/>
      <c r="D11" s="59"/>
      <c r="E11" s="67"/>
      <c r="F11" s="18"/>
      <c r="G11" s="59"/>
      <c r="H11" s="67"/>
      <c r="I11" s="63"/>
      <c r="J11" s="64"/>
      <c r="K11" s="64"/>
      <c r="L11" s="64"/>
      <c r="M11" s="64"/>
      <c r="N11" s="65"/>
    </row>
    <row r="12" spans="1:14" ht="12.75">
      <c r="A12" s="69"/>
      <c r="B12" s="69"/>
      <c r="C12" s="69"/>
      <c r="D12" s="59"/>
      <c r="E12" s="67"/>
      <c r="F12" s="18"/>
      <c r="G12" s="59"/>
      <c r="H12" s="67"/>
      <c r="I12" s="15"/>
      <c r="J12" s="16"/>
      <c r="K12" s="15"/>
      <c r="L12" s="16"/>
      <c r="M12" s="15"/>
      <c r="N12" s="17"/>
    </row>
    <row r="13" spans="1:14" ht="12.75">
      <c r="A13" s="69"/>
      <c r="B13" s="69"/>
      <c r="C13" s="69"/>
      <c r="D13" s="59"/>
      <c r="E13" s="68"/>
      <c r="F13" s="19"/>
      <c r="G13" s="59"/>
      <c r="H13" s="68"/>
      <c r="I13" s="19" t="s">
        <v>2</v>
      </c>
      <c r="J13" s="20" t="s">
        <v>3</v>
      </c>
      <c r="K13" s="19" t="s">
        <v>11</v>
      </c>
      <c r="L13" s="20" t="s">
        <v>12</v>
      </c>
      <c r="M13" s="19" t="s">
        <v>13</v>
      </c>
      <c r="N13" s="21" t="s">
        <v>14</v>
      </c>
    </row>
    <row r="14" spans="1:14" s="25" customFormat="1" ht="11.25">
      <c r="A14" s="22">
        <v>1</v>
      </c>
      <c r="B14" s="12">
        <v>2</v>
      </c>
      <c r="C14" s="23">
        <v>3</v>
      </c>
      <c r="D14" s="13">
        <v>4</v>
      </c>
      <c r="E14" s="24">
        <v>5</v>
      </c>
      <c r="F14" s="13">
        <v>6</v>
      </c>
      <c r="G14" s="24">
        <v>7</v>
      </c>
      <c r="H14" s="13">
        <v>8</v>
      </c>
      <c r="I14" s="24">
        <v>9</v>
      </c>
      <c r="J14" s="13">
        <v>10</v>
      </c>
      <c r="K14" s="24">
        <v>11</v>
      </c>
      <c r="L14" s="13">
        <v>12</v>
      </c>
      <c r="M14" s="24">
        <v>13</v>
      </c>
      <c r="N14" s="13">
        <v>14</v>
      </c>
    </row>
    <row r="15" spans="1:14" s="25" customFormat="1" ht="12.75" customHeight="1">
      <c r="A15" s="79">
        <v>1</v>
      </c>
      <c r="B15" s="80">
        <v>600</v>
      </c>
      <c r="C15" s="80">
        <v>60016</v>
      </c>
      <c r="D15" s="81" t="s">
        <v>19</v>
      </c>
      <c r="E15" s="37" t="s">
        <v>87</v>
      </c>
      <c r="F15" s="49" t="s">
        <v>92</v>
      </c>
      <c r="G15" s="43">
        <f>SUM(I15:N15)</f>
        <v>2102200</v>
      </c>
      <c r="H15" s="4" t="s">
        <v>15</v>
      </c>
      <c r="I15" s="1">
        <f aca="true" t="shared" si="0" ref="I15:N15">I16+I17+I18</f>
        <v>1302200</v>
      </c>
      <c r="J15" s="1">
        <f t="shared" si="0"/>
        <v>200000</v>
      </c>
      <c r="K15" s="1">
        <f t="shared" si="0"/>
        <v>600000</v>
      </c>
      <c r="L15" s="1">
        <f t="shared" si="0"/>
        <v>0</v>
      </c>
      <c r="M15" s="1">
        <f t="shared" si="0"/>
        <v>0</v>
      </c>
      <c r="N15" s="1">
        <f t="shared" si="0"/>
        <v>0</v>
      </c>
    </row>
    <row r="16" spans="1:14" s="25" customFormat="1" ht="12" customHeight="1">
      <c r="A16" s="79"/>
      <c r="B16" s="80"/>
      <c r="C16" s="80"/>
      <c r="D16" s="82"/>
      <c r="E16" s="38"/>
      <c r="F16" s="44"/>
      <c r="G16" s="44"/>
      <c r="H16" s="3" t="s">
        <v>16</v>
      </c>
      <c r="I16" s="1">
        <f aca="true" t="shared" si="1" ref="I16:N18">I20+I24</f>
        <v>1302200</v>
      </c>
      <c r="J16" s="1">
        <f t="shared" si="1"/>
        <v>200000</v>
      </c>
      <c r="K16" s="1">
        <f t="shared" si="1"/>
        <v>600000</v>
      </c>
      <c r="L16" s="1">
        <f t="shared" si="1"/>
        <v>0</v>
      </c>
      <c r="M16" s="1">
        <f t="shared" si="1"/>
        <v>0</v>
      </c>
      <c r="N16" s="1">
        <f t="shared" si="1"/>
        <v>0</v>
      </c>
    </row>
    <row r="17" spans="1:14" s="25" customFormat="1" ht="24.75" customHeight="1">
      <c r="A17" s="79"/>
      <c r="B17" s="80"/>
      <c r="C17" s="80"/>
      <c r="D17" s="82"/>
      <c r="E17" s="38"/>
      <c r="F17" s="44"/>
      <c r="G17" s="44"/>
      <c r="H17" s="5" t="s">
        <v>17</v>
      </c>
      <c r="I17" s="1"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  <c r="M17" s="1">
        <f t="shared" si="1"/>
        <v>0</v>
      </c>
      <c r="N17" s="1">
        <f t="shared" si="1"/>
        <v>0</v>
      </c>
    </row>
    <row r="18" spans="1:14" s="25" customFormat="1" ht="12" customHeight="1">
      <c r="A18" s="79"/>
      <c r="B18" s="80"/>
      <c r="C18" s="80"/>
      <c r="D18" s="83"/>
      <c r="E18" s="39"/>
      <c r="F18" s="45"/>
      <c r="G18" s="45"/>
      <c r="H18" s="3" t="s">
        <v>18</v>
      </c>
      <c r="I18" s="1">
        <f t="shared" si="1"/>
        <v>0</v>
      </c>
      <c r="J18" s="1">
        <f t="shared" si="1"/>
        <v>0</v>
      </c>
      <c r="K18" s="1">
        <f t="shared" si="1"/>
        <v>0</v>
      </c>
      <c r="L18" s="1">
        <f t="shared" si="1"/>
        <v>0</v>
      </c>
      <c r="M18" s="1">
        <f t="shared" si="1"/>
        <v>0</v>
      </c>
      <c r="N18" s="1">
        <f t="shared" si="1"/>
        <v>0</v>
      </c>
    </row>
    <row r="19" spans="1:14" s="25" customFormat="1" ht="11.25">
      <c r="A19" s="46"/>
      <c r="B19" s="49"/>
      <c r="C19" s="49"/>
      <c r="D19" s="76" t="s">
        <v>20</v>
      </c>
      <c r="E19" s="37" t="s">
        <v>87</v>
      </c>
      <c r="F19" s="49" t="s">
        <v>93</v>
      </c>
      <c r="G19" s="43">
        <f>SUM(I19:N19)</f>
        <v>1290000</v>
      </c>
      <c r="H19" s="4" t="s">
        <v>15</v>
      </c>
      <c r="I19" s="1">
        <f aca="true" t="shared" si="2" ref="I19:N19">I20+I22+I21</f>
        <v>1290000</v>
      </c>
      <c r="J19" s="1">
        <f t="shared" si="2"/>
        <v>0</v>
      </c>
      <c r="K19" s="1">
        <f t="shared" si="2"/>
        <v>0</v>
      </c>
      <c r="L19" s="1">
        <f t="shared" si="2"/>
        <v>0</v>
      </c>
      <c r="M19" s="1">
        <f t="shared" si="2"/>
        <v>0</v>
      </c>
      <c r="N19" s="1">
        <f t="shared" si="2"/>
        <v>0</v>
      </c>
    </row>
    <row r="20" spans="1:14" s="25" customFormat="1" ht="11.25">
      <c r="A20" s="47"/>
      <c r="B20" s="44"/>
      <c r="C20" s="44"/>
      <c r="D20" s="77"/>
      <c r="E20" s="38"/>
      <c r="F20" s="44"/>
      <c r="G20" s="44"/>
      <c r="H20" s="3" t="s">
        <v>16</v>
      </c>
      <c r="I20" s="1">
        <f>1000000+500000-200000-10000</f>
        <v>1290000</v>
      </c>
      <c r="J20" s="1"/>
      <c r="K20" s="1"/>
      <c r="L20" s="1"/>
      <c r="M20" s="1"/>
      <c r="N20" s="1"/>
    </row>
    <row r="21" spans="1:14" s="25" customFormat="1" ht="22.5">
      <c r="A21" s="47"/>
      <c r="B21" s="44"/>
      <c r="C21" s="44"/>
      <c r="D21" s="77"/>
      <c r="E21" s="38"/>
      <c r="F21" s="44"/>
      <c r="G21" s="44"/>
      <c r="H21" s="5" t="s">
        <v>17</v>
      </c>
      <c r="I21" s="1"/>
      <c r="J21" s="1"/>
      <c r="K21" s="1"/>
      <c r="L21" s="1"/>
      <c r="M21" s="1"/>
      <c r="N21" s="1"/>
    </row>
    <row r="22" spans="1:14" s="25" customFormat="1" ht="11.25">
      <c r="A22" s="48"/>
      <c r="B22" s="45"/>
      <c r="C22" s="45"/>
      <c r="D22" s="78"/>
      <c r="E22" s="39"/>
      <c r="F22" s="45"/>
      <c r="G22" s="45"/>
      <c r="H22" s="3" t="s">
        <v>18</v>
      </c>
      <c r="I22" s="1"/>
      <c r="J22" s="1"/>
      <c r="K22" s="1"/>
      <c r="L22" s="1"/>
      <c r="M22" s="1"/>
      <c r="N22" s="1"/>
    </row>
    <row r="23" spans="1:14" s="25" customFormat="1" ht="11.25">
      <c r="A23" s="46"/>
      <c r="B23" s="49"/>
      <c r="C23" s="49"/>
      <c r="D23" s="76" t="s">
        <v>21</v>
      </c>
      <c r="E23" s="37" t="s">
        <v>87</v>
      </c>
      <c r="F23" s="49" t="s">
        <v>92</v>
      </c>
      <c r="G23" s="43">
        <f>SUM(I23:N23)</f>
        <v>812200</v>
      </c>
      <c r="H23" s="4" t="s">
        <v>15</v>
      </c>
      <c r="I23" s="1">
        <f aca="true" t="shared" si="3" ref="I23:N23">I24+I25+I26</f>
        <v>12200</v>
      </c>
      <c r="J23" s="1">
        <f t="shared" si="3"/>
        <v>200000</v>
      </c>
      <c r="K23" s="1">
        <f t="shared" si="3"/>
        <v>600000</v>
      </c>
      <c r="L23" s="1">
        <f t="shared" si="3"/>
        <v>0</v>
      </c>
      <c r="M23" s="1">
        <f t="shared" si="3"/>
        <v>0</v>
      </c>
      <c r="N23" s="1">
        <f t="shared" si="3"/>
        <v>0</v>
      </c>
    </row>
    <row r="24" spans="1:14" s="25" customFormat="1" ht="11.25">
      <c r="A24" s="47"/>
      <c r="B24" s="44"/>
      <c r="C24" s="44"/>
      <c r="D24" s="77"/>
      <c r="E24" s="38"/>
      <c r="F24" s="44"/>
      <c r="G24" s="44"/>
      <c r="H24" s="3" t="s">
        <v>16</v>
      </c>
      <c r="I24" s="1">
        <v>12200</v>
      </c>
      <c r="J24" s="1">
        <v>200000</v>
      </c>
      <c r="K24" s="1">
        <v>600000</v>
      </c>
      <c r="L24" s="1"/>
      <c r="M24" s="1"/>
      <c r="N24" s="1"/>
    </row>
    <row r="25" spans="1:14" s="25" customFormat="1" ht="22.5">
      <c r="A25" s="47"/>
      <c r="B25" s="44"/>
      <c r="C25" s="44"/>
      <c r="D25" s="77"/>
      <c r="E25" s="38"/>
      <c r="F25" s="44"/>
      <c r="G25" s="44"/>
      <c r="H25" s="5" t="s">
        <v>17</v>
      </c>
      <c r="I25" s="1"/>
      <c r="J25" s="1"/>
      <c r="K25" s="1"/>
      <c r="L25" s="1"/>
      <c r="M25" s="1"/>
      <c r="N25" s="1"/>
    </row>
    <row r="26" spans="1:14" s="25" customFormat="1" ht="11.25">
      <c r="A26" s="48"/>
      <c r="B26" s="45"/>
      <c r="C26" s="45"/>
      <c r="D26" s="78"/>
      <c r="E26" s="39"/>
      <c r="F26" s="45"/>
      <c r="G26" s="45"/>
      <c r="H26" s="3" t="s">
        <v>18</v>
      </c>
      <c r="I26" s="1"/>
      <c r="J26" s="1"/>
      <c r="K26" s="1"/>
      <c r="L26" s="1"/>
      <c r="M26" s="1"/>
      <c r="N26" s="1"/>
    </row>
    <row r="27" spans="1:14" s="25" customFormat="1" ht="11.25">
      <c r="A27" s="46">
        <v>2</v>
      </c>
      <c r="B27" s="49">
        <v>600</v>
      </c>
      <c r="C27" s="49">
        <v>60016</v>
      </c>
      <c r="D27" s="73" t="s">
        <v>22</v>
      </c>
      <c r="E27" s="37" t="s">
        <v>87</v>
      </c>
      <c r="F27" s="49">
        <v>2008</v>
      </c>
      <c r="G27" s="43">
        <f>SUM(I27:N27)</f>
        <v>948373</v>
      </c>
      <c r="H27" s="4" t="s">
        <v>15</v>
      </c>
      <c r="I27" s="1">
        <f aca="true" t="shared" si="4" ref="I27:N27">I28+I29+I30</f>
        <v>948373</v>
      </c>
      <c r="J27" s="1">
        <f t="shared" si="4"/>
        <v>0</v>
      </c>
      <c r="K27" s="1">
        <f t="shared" si="4"/>
        <v>0</v>
      </c>
      <c r="L27" s="1">
        <f t="shared" si="4"/>
        <v>0</v>
      </c>
      <c r="M27" s="1">
        <f t="shared" si="4"/>
        <v>0</v>
      </c>
      <c r="N27" s="1">
        <f t="shared" si="4"/>
        <v>0</v>
      </c>
    </row>
    <row r="28" spans="1:14" s="25" customFormat="1" ht="11.25">
      <c r="A28" s="47"/>
      <c r="B28" s="44"/>
      <c r="C28" s="44"/>
      <c r="D28" s="74"/>
      <c r="E28" s="38"/>
      <c r="F28" s="44"/>
      <c r="G28" s="44"/>
      <c r="H28" s="3" t="s">
        <v>16</v>
      </c>
      <c r="I28" s="1">
        <v>2706</v>
      </c>
      <c r="J28" s="1"/>
      <c r="K28" s="1"/>
      <c r="L28" s="1"/>
      <c r="M28" s="1"/>
      <c r="N28" s="1"/>
    </row>
    <row r="29" spans="1:14" s="25" customFormat="1" ht="22.5">
      <c r="A29" s="47"/>
      <c r="B29" s="44"/>
      <c r="C29" s="44"/>
      <c r="D29" s="74"/>
      <c r="E29" s="38"/>
      <c r="F29" s="44"/>
      <c r="G29" s="44"/>
      <c r="H29" s="5" t="s">
        <v>17</v>
      </c>
      <c r="I29" s="1"/>
      <c r="J29" s="1"/>
      <c r="K29" s="1"/>
      <c r="L29" s="1"/>
      <c r="M29" s="1"/>
      <c r="N29" s="1"/>
    </row>
    <row r="30" spans="1:14" s="25" customFormat="1" ht="11.25">
      <c r="A30" s="48"/>
      <c r="B30" s="45"/>
      <c r="C30" s="45"/>
      <c r="D30" s="75"/>
      <c r="E30" s="39"/>
      <c r="F30" s="45"/>
      <c r="G30" s="45"/>
      <c r="H30" s="3" t="s">
        <v>18</v>
      </c>
      <c r="I30" s="1">
        <f>788373+160000-2706</f>
        <v>945667</v>
      </c>
      <c r="J30" s="1"/>
      <c r="K30" s="1"/>
      <c r="L30" s="1"/>
      <c r="M30" s="1"/>
      <c r="N30" s="1"/>
    </row>
    <row r="31" spans="1:14" s="25" customFormat="1" ht="11.25">
      <c r="A31" s="46">
        <v>3</v>
      </c>
      <c r="B31" s="49">
        <v>600</v>
      </c>
      <c r="C31" s="49">
        <v>60016</v>
      </c>
      <c r="D31" s="73" t="s">
        <v>23</v>
      </c>
      <c r="E31" s="37" t="s">
        <v>87</v>
      </c>
      <c r="F31" s="49">
        <v>2008</v>
      </c>
      <c r="G31" s="43">
        <f>SUM(I31:N31)</f>
        <v>4600989</v>
      </c>
      <c r="H31" s="4" t="s">
        <v>15</v>
      </c>
      <c r="I31" s="1">
        <f aca="true" t="shared" si="5" ref="I31:N31">I32+I33+I34</f>
        <v>4600989</v>
      </c>
      <c r="J31" s="1">
        <f t="shared" si="5"/>
        <v>0</v>
      </c>
      <c r="K31" s="1">
        <f t="shared" si="5"/>
        <v>0</v>
      </c>
      <c r="L31" s="1">
        <f t="shared" si="5"/>
        <v>0</v>
      </c>
      <c r="M31" s="1">
        <f t="shared" si="5"/>
        <v>0</v>
      </c>
      <c r="N31" s="1">
        <f t="shared" si="5"/>
        <v>0</v>
      </c>
    </row>
    <row r="32" spans="1:14" s="25" customFormat="1" ht="11.25">
      <c r="A32" s="47"/>
      <c r="B32" s="44"/>
      <c r="C32" s="44"/>
      <c r="D32" s="74"/>
      <c r="E32" s="38"/>
      <c r="F32" s="44"/>
      <c r="G32" s="44"/>
      <c r="H32" s="3" t="s">
        <v>16</v>
      </c>
      <c r="I32" s="1">
        <v>1454887</v>
      </c>
      <c r="J32" s="1"/>
      <c r="K32" s="1"/>
      <c r="L32" s="1"/>
      <c r="M32" s="1"/>
      <c r="N32" s="1"/>
    </row>
    <row r="33" spans="1:14" s="25" customFormat="1" ht="22.5">
      <c r="A33" s="47"/>
      <c r="B33" s="44"/>
      <c r="C33" s="44"/>
      <c r="D33" s="74"/>
      <c r="E33" s="38"/>
      <c r="F33" s="44"/>
      <c r="G33" s="44"/>
      <c r="H33" s="5" t="s">
        <v>17</v>
      </c>
      <c r="I33" s="1"/>
      <c r="J33" s="1"/>
      <c r="K33" s="1"/>
      <c r="L33" s="1"/>
      <c r="M33" s="1"/>
      <c r="N33" s="1"/>
    </row>
    <row r="34" spans="1:14" s="25" customFormat="1" ht="11.25">
      <c r="A34" s="48"/>
      <c r="B34" s="45"/>
      <c r="C34" s="45"/>
      <c r="D34" s="75"/>
      <c r="E34" s="39"/>
      <c r="F34" s="45"/>
      <c r="G34" s="45"/>
      <c r="H34" s="3" t="s">
        <v>18</v>
      </c>
      <c r="I34" s="1">
        <f>2359576+786526</f>
        <v>3146102</v>
      </c>
      <c r="J34" s="1"/>
      <c r="K34" s="1"/>
      <c r="L34" s="1"/>
      <c r="M34" s="1"/>
      <c r="N34" s="1"/>
    </row>
    <row r="35" spans="1:14" s="25" customFormat="1" ht="11.25">
      <c r="A35" s="46">
        <v>4</v>
      </c>
      <c r="B35" s="49">
        <v>600</v>
      </c>
      <c r="C35" s="49">
        <v>60016</v>
      </c>
      <c r="D35" s="56" t="s">
        <v>24</v>
      </c>
      <c r="E35" s="37" t="s">
        <v>87</v>
      </c>
      <c r="F35" s="49" t="s">
        <v>95</v>
      </c>
      <c r="G35" s="43">
        <f>SUM(I35:N35)</f>
        <v>5680000</v>
      </c>
      <c r="H35" s="4" t="s">
        <v>15</v>
      </c>
      <c r="I35" s="1">
        <f aca="true" t="shared" si="6" ref="I35:N35">I36+I38</f>
        <v>1010000</v>
      </c>
      <c r="J35" s="1">
        <f t="shared" si="6"/>
        <v>2120000</v>
      </c>
      <c r="K35" s="1">
        <f t="shared" si="6"/>
        <v>1185000</v>
      </c>
      <c r="L35" s="1">
        <f t="shared" si="6"/>
        <v>1365000</v>
      </c>
      <c r="M35" s="1">
        <f t="shared" si="6"/>
        <v>0</v>
      </c>
      <c r="N35" s="1">
        <f t="shared" si="6"/>
        <v>0</v>
      </c>
    </row>
    <row r="36" spans="1:14" s="25" customFormat="1" ht="11.25">
      <c r="A36" s="47"/>
      <c r="B36" s="44"/>
      <c r="C36" s="44"/>
      <c r="D36" s="57"/>
      <c r="E36" s="38"/>
      <c r="F36" s="44"/>
      <c r="G36" s="44"/>
      <c r="H36" s="3" t="s">
        <v>16</v>
      </c>
      <c r="I36" s="1">
        <f aca="true" t="shared" si="7" ref="I36:N37">I40+I44+I48+I52+I56+I60+I64+I68+I72</f>
        <v>1010000</v>
      </c>
      <c r="J36" s="1">
        <f t="shared" si="7"/>
        <v>2120000</v>
      </c>
      <c r="K36" s="1">
        <f t="shared" si="7"/>
        <v>1185000</v>
      </c>
      <c r="L36" s="1">
        <f t="shared" si="7"/>
        <v>1365000</v>
      </c>
      <c r="M36" s="1">
        <f t="shared" si="7"/>
        <v>0</v>
      </c>
      <c r="N36" s="1">
        <f t="shared" si="7"/>
        <v>0</v>
      </c>
    </row>
    <row r="37" spans="1:14" s="25" customFormat="1" ht="22.5">
      <c r="A37" s="47"/>
      <c r="B37" s="44"/>
      <c r="C37" s="44"/>
      <c r="D37" s="57"/>
      <c r="E37" s="38"/>
      <c r="F37" s="44"/>
      <c r="G37" s="44"/>
      <c r="H37" s="5" t="s">
        <v>17</v>
      </c>
      <c r="I37" s="1">
        <f t="shared" si="7"/>
        <v>0</v>
      </c>
      <c r="J37" s="1">
        <f t="shared" si="7"/>
        <v>0</v>
      </c>
      <c r="K37" s="1">
        <f t="shared" si="7"/>
        <v>0</v>
      </c>
      <c r="L37" s="1">
        <f t="shared" si="7"/>
        <v>0</v>
      </c>
      <c r="M37" s="1">
        <f t="shared" si="7"/>
        <v>0</v>
      </c>
      <c r="N37" s="1">
        <f t="shared" si="7"/>
        <v>0</v>
      </c>
    </row>
    <row r="38" spans="1:14" s="25" customFormat="1" ht="11.25">
      <c r="A38" s="48"/>
      <c r="B38" s="45"/>
      <c r="C38" s="45"/>
      <c r="D38" s="30"/>
      <c r="E38" s="39"/>
      <c r="F38" s="45"/>
      <c r="G38" s="45"/>
      <c r="H38" s="3" t="s">
        <v>18</v>
      </c>
      <c r="I38" s="1">
        <f aca="true" t="shared" si="8" ref="I38:N38">I46+I42+I50+I54+I58+I62+I66+I74+I70</f>
        <v>0</v>
      </c>
      <c r="J38" s="1">
        <f t="shared" si="8"/>
        <v>0</v>
      </c>
      <c r="K38" s="1">
        <f t="shared" si="8"/>
        <v>0</v>
      </c>
      <c r="L38" s="1">
        <f t="shared" si="8"/>
        <v>0</v>
      </c>
      <c r="M38" s="1">
        <f t="shared" si="8"/>
        <v>0</v>
      </c>
      <c r="N38" s="1">
        <f t="shared" si="8"/>
        <v>0</v>
      </c>
    </row>
    <row r="39" spans="1:14" s="25" customFormat="1" ht="11.25">
      <c r="A39" s="46"/>
      <c r="B39" s="49"/>
      <c r="C39" s="49"/>
      <c r="D39" s="50" t="s">
        <v>25</v>
      </c>
      <c r="E39" s="37" t="s">
        <v>87</v>
      </c>
      <c r="F39" s="49">
        <v>2008</v>
      </c>
      <c r="G39" s="43">
        <f>SUM(I39:N39)</f>
        <v>990000</v>
      </c>
      <c r="H39" s="4" t="s">
        <v>15</v>
      </c>
      <c r="I39" s="1">
        <f aca="true" t="shared" si="9" ref="I39:N39">I40+I41+I42</f>
        <v>990000</v>
      </c>
      <c r="J39" s="1">
        <f t="shared" si="9"/>
        <v>0</v>
      </c>
      <c r="K39" s="1">
        <f t="shared" si="9"/>
        <v>0</v>
      </c>
      <c r="L39" s="1">
        <f t="shared" si="9"/>
        <v>0</v>
      </c>
      <c r="M39" s="1">
        <f t="shared" si="9"/>
        <v>0</v>
      </c>
      <c r="N39" s="1">
        <f t="shared" si="9"/>
        <v>0</v>
      </c>
    </row>
    <row r="40" spans="1:14" s="25" customFormat="1" ht="11.25">
      <c r="A40" s="47"/>
      <c r="B40" s="44"/>
      <c r="C40" s="44"/>
      <c r="D40" s="51"/>
      <c r="E40" s="38"/>
      <c r="F40" s="44"/>
      <c r="G40" s="44"/>
      <c r="H40" s="3" t="s">
        <v>16</v>
      </c>
      <c r="I40" s="1">
        <f>700000+33140+240000-3140+20000</f>
        <v>990000</v>
      </c>
      <c r="J40" s="1"/>
      <c r="K40" s="1"/>
      <c r="L40" s="1"/>
      <c r="M40" s="1"/>
      <c r="N40" s="1"/>
    </row>
    <row r="41" spans="1:14" s="25" customFormat="1" ht="22.5">
      <c r="A41" s="47"/>
      <c r="B41" s="44"/>
      <c r="C41" s="44"/>
      <c r="D41" s="51"/>
      <c r="E41" s="38"/>
      <c r="F41" s="44"/>
      <c r="G41" s="44"/>
      <c r="H41" s="5" t="s">
        <v>17</v>
      </c>
      <c r="I41" s="1"/>
      <c r="J41" s="1"/>
      <c r="K41" s="1"/>
      <c r="L41" s="1"/>
      <c r="M41" s="1"/>
      <c r="N41" s="1"/>
    </row>
    <row r="42" spans="1:14" s="25" customFormat="1" ht="11.25">
      <c r="A42" s="48"/>
      <c r="B42" s="45"/>
      <c r="C42" s="45"/>
      <c r="D42" s="52"/>
      <c r="E42" s="39"/>
      <c r="F42" s="45"/>
      <c r="G42" s="45"/>
      <c r="H42" s="3" t="s">
        <v>18</v>
      </c>
      <c r="I42" s="1"/>
      <c r="J42" s="1"/>
      <c r="K42" s="1"/>
      <c r="L42" s="1"/>
      <c r="M42" s="1"/>
      <c r="N42" s="1"/>
    </row>
    <row r="43" spans="1:14" s="25" customFormat="1" ht="11.25">
      <c r="A43" s="46"/>
      <c r="B43" s="49"/>
      <c r="C43" s="49"/>
      <c r="D43" s="50" t="s">
        <v>26</v>
      </c>
      <c r="E43" s="37" t="s">
        <v>87</v>
      </c>
      <c r="F43" s="49" t="s">
        <v>96</v>
      </c>
      <c r="G43" s="43">
        <f>SUM(I43:N43)</f>
        <v>800000</v>
      </c>
      <c r="H43" s="4" t="s">
        <v>15</v>
      </c>
      <c r="I43" s="1">
        <f aca="true" t="shared" si="10" ref="I43:N43">I44+I45+I46</f>
        <v>0</v>
      </c>
      <c r="J43" s="1">
        <f t="shared" si="10"/>
        <v>0</v>
      </c>
      <c r="K43" s="1">
        <f t="shared" si="10"/>
        <v>20000</v>
      </c>
      <c r="L43" s="1">
        <f t="shared" si="10"/>
        <v>780000</v>
      </c>
      <c r="M43" s="1">
        <f t="shared" si="10"/>
        <v>0</v>
      </c>
      <c r="N43" s="1">
        <f t="shared" si="10"/>
        <v>0</v>
      </c>
    </row>
    <row r="44" spans="1:14" s="25" customFormat="1" ht="11.25">
      <c r="A44" s="47"/>
      <c r="B44" s="44"/>
      <c r="C44" s="44"/>
      <c r="D44" s="51"/>
      <c r="E44" s="38"/>
      <c r="F44" s="44"/>
      <c r="G44" s="44"/>
      <c r="H44" s="3" t="s">
        <v>16</v>
      </c>
      <c r="I44" s="1"/>
      <c r="J44" s="1"/>
      <c r="K44" s="1">
        <v>20000</v>
      </c>
      <c r="L44" s="1">
        <v>780000</v>
      </c>
      <c r="M44" s="1"/>
      <c r="N44" s="1"/>
    </row>
    <row r="45" spans="1:14" s="25" customFormat="1" ht="22.5">
      <c r="A45" s="47"/>
      <c r="B45" s="44"/>
      <c r="C45" s="44"/>
      <c r="D45" s="51"/>
      <c r="E45" s="38"/>
      <c r="F45" s="44"/>
      <c r="G45" s="44"/>
      <c r="H45" s="5" t="s">
        <v>17</v>
      </c>
      <c r="I45" s="1"/>
      <c r="J45" s="1"/>
      <c r="K45" s="1"/>
      <c r="L45" s="1"/>
      <c r="M45" s="1"/>
      <c r="N45" s="1"/>
    </row>
    <row r="46" spans="1:14" s="25" customFormat="1" ht="11.25">
      <c r="A46" s="48"/>
      <c r="B46" s="45"/>
      <c r="C46" s="45"/>
      <c r="D46" s="52"/>
      <c r="E46" s="39"/>
      <c r="F46" s="45"/>
      <c r="G46" s="45"/>
      <c r="H46" s="3" t="s">
        <v>18</v>
      </c>
      <c r="I46" s="1"/>
      <c r="J46" s="1"/>
      <c r="K46" s="1"/>
      <c r="L46" s="1"/>
      <c r="M46" s="1"/>
      <c r="N46" s="1"/>
    </row>
    <row r="47" spans="1:14" s="25" customFormat="1" ht="11.25">
      <c r="A47" s="46"/>
      <c r="B47" s="49"/>
      <c r="C47" s="49"/>
      <c r="D47" s="50" t="s">
        <v>27</v>
      </c>
      <c r="E47" s="37" t="s">
        <v>87</v>
      </c>
      <c r="F47" s="49" t="s">
        <v>94</v>
      </c>
      <c r="G47" s="43">
        <f>SUM(I47:N47)</f>
        <v>2100000</v>
      </c>
      <c r="H47" s="4" t="s">
        <v>15</v>
      </c>
      <c r="I47" s="1">
        <f aca="true" t="shared" si="11" ref="I47:N47">I48+I49+I50</f>
        <v>20000</v>
      </c>
      <c r="J47" s="1">
        <f t="shared" si="11"/>
        <v>1515000</v>
      </c>
      <c r="K47" s="1">
        <f t="shared" si="11"/>
        <v>565000</v>
      </c>
      <c r="L47" s="1">
        <f t="shared" si="11"/>
        <v>0</v>
      </c>
      <c r="M47" s="1">
        <f t="shared" si="11"/>
        <v>0</v>
      </c>
      <c r="N47" s="1">
        <f t="shared" si="11"/>
        <v>0</v>
      </c>
    </row>
    <row r="48" spans="1:14" s="25" customFormat="1" ht="11.25">
      <c r="A48" s="47"/>
      <c r="B48" s="44"/>
      <c r="C48" s="44"/>
      <c r="D48" s="51"/>
      <c r="E48" s="38"/>
      <c r="F48" s="44"/>
      <c r="G48" s="44"/>
      <c r="H48" s="3" t="s">
        <v>16</v>
      </c>
      <c r="I48" s="1">
        <v>20000</v>
      </c>
      <c r="J48" s="1">
        <v>1515000</v>
      </c>
      <c r="K48" s="1">
        <f>585000-20000</f>
        <v>565000</v>
      </c>
      <c r="L48" s="1"/>
      <c r="M48" s="1"/>
      <c r="N48" s="1"/>
    </row>
    <row r="49" spans="1:14" s="25" customFormat="1" ht="22.5">
      <c r="A49" s="47"/>
      <c r="B49" s="44"/>
      <c r="C49" s="44"/>
      <c r="D49" s="51"/>
      <c r="E49" s="38"/>
      <c r="F49" s="44"/>
      <c r="G49" s="44"/>
      <c r="H49" s="5" t="s">
        <v>17</v>
      </c>
      <c r="I49" s="1"/>
      <c r="J49" s="1"/>
      <c r="K49" s="1"/>
      <c r="L49" s="1"/>
      <c r="M49" s="1"/>
      <c r="N49" s="1"/>
    </row>
    <row r="50" spans="1:14" s="25" customFormat="1" ht="11.25">
      <c r="A50" s="48"/>
      <c r="B50" s="45"/>
      <c r="C50" s="45"/>
      <c r="D50" s="52"/>
      <c r="E50" s="39"/>
      <c r="F50" s="45"/>
      <c r="G50" s="45"/>
      <c r="H50" s="3" t="s">
        <v>18</v>
      </c>
      <c r="I50" s="1"/>
      <c r="J50" s="1"/>
      <c r="K50" s="1"/>
      <c r="L50" s="1"/>
      <c r="M50" s="1"/>
      <c r="N50" s="1"/>
    </row>
    <row r="51" spans="1:14" ht="12.75">
      <c r="A51" s="46"/>
      <c r="B51" s="49"/>
      <c r="C51" s="49"/>
      <c r="D51" s="50" t="s">
        <v>28</v>
      </c>
      <c r="E51" s="37" t="s">
        <v>87</v>
      </c>
      <c r="F51" s="40">
        <v>2011</v>
      </c>
      <c r="G51" s="43">
        <f>SUM(I51:N51)</f>
        <v>400000</v>
      </c>
      <c r="H51" s="4" t="s">
        <v>15</v>
      </c>
      <c r="I51" s="1" t="s">
        <v>88</v>
      </c>
      <c r="J51" s="1">
        <f>J52+J53+J54</f>
        <v>0</v>
      </c>
      <c r="K51" s="1">
        <f>K52+K53+K54</f>
        <v>0</v>
      </c>
      <c r="L51" s="1">
        <f>L52+L53+L54</f>
        <v>400000</v>
      </c>
      <c r="M51" s="1">
        <f>M52+M53+M54</f>
        <v>0</v>
      </c>
      <c r="N51" s="1">
        <f>N52+N53+N54</f>
        <v>0</v>
      </c>
    </row>
    <row r="52" spans="1:14" ht="12.75">
      <c r="A52" s="47"/>
      <c r="B52" s="44"/>
      <c r="C52" s="44"/>
      <c r="D52" s="51"/>
      <c r="E52" s="38"/>
      <c r="F52" s="41"/>
      <c r="G52" s="44"/>
      <c r="H52" s="3" t="s">
        <v>16</v>
      </c>
      <c r="I52" s="1"/>
      <c r="J52" s="1"/>
      <c r="K52" s="1"/>
      <c r="L52" s="1">
        <v>400000</v>
      </c>
      <c r="M52" s="1"/>
      <c r="N52" s="1"/>
    </row>
    <row r="53" spans="1:14" ht="26.25" customHeight="1">
      <c r="A53" s="47"/>
      <c r="B53" s="44"/>
      <c r="C53" s="44"/>
      <c r="D53" s="51"/>
      <c r="E53" s="38"/>
      <c r="F53" s="41"/>
      <c r="G53" s="44"/>
      <c r="H53" s="5" t="s">
        <v>17</v>
      </c>
      <c r="I53" s="1"/>
      <c r="J53" s="1"/>
      <c r="K53" s="1"/>
      <c r="L53" s="1"/>
      <c r="M53" s="1"/>
      <c r="N53" s="1"/>
    </row>
    <row r="54" spans="1:14" ht="12.75">
      <c r="A54" s="48"/>
      <c r="B54" s="45"/>
      <c r="C54" s="45"/>
      <c r="D54" s="52"/>
      <c r="E54" s="39"/>
      <c r="F54" s="42"/>
      <c r="G54" s="45"/>
      <c r="H54" s="3" t="s">
        <v>18</v>
      </c>
      <c r="I54" s="1"/>
      <c r="J54" s="1"/>
      <c r="K54" s="1"/>
      <c r="L54" s="1"/>
      <c r="M54" s="1"/>
      <c r="N54" s="1"/>
    </row>
    <row r="55" spans="1:14" ht="12.75">
      <c r="A55" s="46"/>
      <c r="B55" s="49"/>
      <c r="C55" s="49"/>
      <c r="D55" s="50" t="s">
        <v>29</v>
      </c>
      <c r="E55" s="37" t="s">
        <v>87</v>
      </c>
      <c r="F55" s="40">
        <v>2009</v>
      </c>
      <c r="G55" s="43">
        <f>SUM(I55:N55)</f>
        <v>350000</v>
      </c>
      <c r="H55" s="4" t="s">
        <v>15</v>
      </c>
      <c r="I55" s="1">
        <f aca="true" t="shared" si="12" ref="I55:N55">I56+I57+I58</f>
        <v>0</v>
      </c>
      <c r="J55" s="1">
        <f t="shared" si="12"/>
        <v>350000</v>
      </c>
      <c r="K55" s="1">
        <f t="shared" si="12"/>
        <v>0</v>
      </c>
      <c r="L55" s="1">
        <f t="shared" si="12"/>
        <v>0</v>
      </c>
      <c r="M55" s="1">
        <f t="shared" si="12"/>
        <v>0</v>
      </c>
      <c r="N55" s="1">
        <f t="shared" si="12"/>
        <v>0</v>
      </c>
    </row>
    <row r="56" spans="1:14" ht="12.75">
      <c r="A56" s="47"/>
      <c r="B56" s="44"/>
      <c r="C56" s="44"/>
      <c r="D56" s="51"/>
      <c r="E56" s="38"/>
      <c r="F56" s="41"/>
      <c r="G56" s="44"/>
      <c r="H56" s="3" t="s">
        <v>16</v>
      </c>
      <c r="I56" s="1"/>
      <c r="J56" s="1">
        <v>350000</v>
      </c>
      <c r="K56" s="1"/>
      <c r="L56" s="1"/>
      <c r="M56" s="1"/>
      <c r="N56" s="1"/>
    </row>
    <row r="57" spans="1:14" ht="24.75" customHeight="1">
      <c r="A57" s="47"/>
      <c r="B57" s="44"/>
      <c r="C57" s="44"/>
      <c r="D57" s="51"/>
      <c r="E57" s="38"/>
      <c r="F57" s="41"/>
      <c r="G57" s="44"/>
      <c r="H57" s="5" t="s">
        <v>17</v>
      </c>
      <c r="I57" s="1"/>
      <c r="J57" s="1"/>
      <c r="K57" s="1"/>
      <c r="L57" s="1"/>
      <c r="M57" s="1"/>
      <c r="N57" s="1"/>
    </row>
    <row r="58" spans="1:14" ht="12.75">
      <c r="A58" s="48"/>
      <c r="B58" s="45"/>
      <c r="C58" s="45"/>
      <c r="D58" s="52"/>
      <c r="E58" s="39"/>
      <c r="F58" s="42"/>
      <c r="G58" s="45"/>
      <c r="H58" s="3" t="s">
        <v>18</v>
      </c>
      <c r="I58" s="1"/>
      <c r="J58" s="1"/>
      <c r="K58" s="1"/>
      <c r="L58" s="1"/>
      <c r="M58" s="1"/>
      <c r="N58" s="1"/>
    </row>
    <row r="59" spans="1:14" ht="12.75">
      <c r="A59" s="46"/>
      <c r="B59" s="49"/>
      <c r="C59" s="49"/>
      <c r="D59" s="50" t="s">
        <v>30</v>
      </c>
      <c r="E59" s="37" t="s">
        <v>87</v>
      </c>
      <c r="F59" s="40" t="s">
        <v>96</v>
      </c>
      <c r="G59" s="43">
        <f>SUM(I59:N59)</f>
        <v>200000</v>
      </c>
      <c r="H59" s="4" t="s">
        <v>15</v>
      </c>
      <c r="I59" s="1">
        <f aca="true" t="shared" si="13" ref="I59:N59">I60+I61+I62</f>
        <v>0</v>
      </c>
      <c r="J59" s="1">
        <f t="shared" si="13"/>
        <v>0</v>
      </c>
      <c r="K59" s="1">
        <f t="shared" si="13"/>
        <v>15000</v>
      </c>
      <c r="L59" s="1">
        <f t="shared" si="13"/>
        <v>185000</v>
      </c>
      <c r="M59" s="1">
        <f t="shared" si="13"/>
        <v>0</v>
      </c>
      <c r="N59" s="1">
        <f t="shared" si="13"/>
        <v>0</v>
      </c>
    </row>
    <row r="60" spans="1:14" ht="12.75">
      <c r="A60" s="47"/>
      <c r="B60" s="44"/>
      <c r="C60" s="44"/>
      <c r="D60" s="51"/>
      <c r="E60" s="38"/>
      <c r="F60" s="41"/>
      <c r="G60" s="44"/>
      <c r="H60" s="3" t="s">
        <v>16</v>
      </c>
      <c r="I60" s="1"/>
      <c r="J60" s="1"/>
      <c r="K60" s="1">
        <v>15000</v>
      </c>
      <c r="L60" s="1">
        <v>185000</v>
      </c>
      <c r="M60" s="1"/>
      <c r="N60" s="1"/>
    </row>
    <row r="61" spans="1:14" ht="24.75" customHeight="1">
      <c r="A61" s="47"/>
      <c r="B61" s="44"/>
      <c r="C61" s="44"/>
      <c r="D61" s="51"/>
      <c r="E61" s="38"/>
      <c r="F61" s="41"/>
      <c r="G61" s="44"/>
      <c r="H61" s="5" t="s">
        <v>17</v>
      </c>
      <c r="I61" s="1"/>
      <c r="J61" s="1"/>
      <c r="K61" s="1"/>
      <c r="L61" s="1"/>
      <c r="M61" s="1"/>
      <c r="N61" s="1"/>
    </row>
    <row r="62" spans="1:14" ht="12.75">
      <c r="A62" s="48"/>
      <c r="B62" s="45"/>
      <c r="C62" s="45"/>
      <c r="D62" s="52"/>
      <c r="E62" s="39"/>
      <c r="F62" s="42"/>
      <c r="G62" s="45"/>
      <c r="H62" s="3" t="s">
        <v>18</v>
      </c>
      <c r="I62" s="1"/>
      <c r="J62" s="1"/>
      <c r="K62" s="1"/>
      <c r="L62" s="1"/>
      <c r="M62" s="1"/>
      <c r="N62" s="1"/>
    </row>
    <row r="63" spans="1:14" ht="12.75">
      <c r="A63" s="46"/>
      <c r="B63" s="49"/>
      <c r="C63" s="49"/>
      <c r="D63" s="50" t="s">
        <v>31</v>
      </c>
      <c r="E63" s="37" t="s">
        <v>87</v>
      </c>
      <c r="F63" s="40" t="s">
        <v>94</v>
      </c>
      <c r="G63" s="43">
        <f>SUM(I63:N63)</f>
        <v>400000</v>
      </c>
      <c r="H63" s="4" t="s">
        <v>15</v>
      </c>
      <c r="I63" s="1">
        <f aca="true" t="shared" si="14" ref="I63:N63">I64+I65+I66</f>
        <v>0</v>
      </c>
      <c r="J63" s="1">
        <f t="shared" si="14"/>
        <v>20000</v>
      </c>
      <c r="K63" s="1">
        <f t="shared" si="14"/>
        <v>380000</v>
      </c>
      <c r="L63" s="1">
        <f t="shared" si="14"/>
        <v>0</v>
      </c>
      <c r="M63" s="1">
        <f t="shared" si="14"/>
        <v>0</v>
      </c>
      <c r="N63" s="1">
        <f t="shared" si="14"/>
        <v>0</v>
      </c>
    </row>
    <row r="64" spans="1:14" ht="12.75">
      <c r="A64" s="47"/>
      <c r="B64" s="44"/>
      <c r="C64" s="44"/>
      <c r="D64" s="51"/>
      <c r="E64" s="38"/>
      <c r="F64" s="41"/>
      <c r="G64" s="44"/>
      <c r="H64" s="3" t="s">
        <v>16</v>
      </c>
      <c r="I64" s="1"/>
      <c r="J64" s="1">
        <v>20000</v>
      </c>
      <c r="K64" s="1">
        <v>380000</v>
      </c>
      <c r="L64" s="1"/>
      <c r="M64" s="1"/>
      <c r="N64" s="1"/>
    </row>
    <row r="65" spans="1:14" ht="27" customHeight="1">
      <c r="A65" s="47"/>
      <c r="B65" s="44"/>
      <c r="C65" s="44"/>
      <c r="D65" s="51"/>
      <c r="E65" s="38"/>
      <c r="F65" s="41"/>
      <c r="G65" s="44"/>
      <c r="H65" s="5" t="s">
        <v>17</v>
      </c>
      <c r="I65" s="1"/>
      <c r="J65" s="1"/>
      <c r="K65" s="1"/>
      <c r="L65" s="1"/>
      <c r="M65" s="1"/>
      <c r="N65" s="1"/>
    </row>
    <row r="66" spans="1:14" ht="12.75">
      <c r="A66" s="48"/>
      <c r="B66" s="45"/>
      <c r="C66" s="45"/>
      <c r="D66" s="52"/>
      <c r="E66" s="39"/>
      <c r="F66" s="42"/>
      <c r="G66" s="45"/>
      <c r="H66" s="3" t="s">
        <v>18</v>
      </c>
      <c r="I66" s="1"/>
      <c r="J66" s="1"/>
      <c r="K66" s="1"/>
      <c r="L66" s="1"/>
      <c r="M66" s="1"/>
      <c r="N66" s="1"/>
    </row>
    <row r="67" spans="1:14" ht="12.75">
      <c r="A67" s="46"/>
      <c r="B67" s="49"/>
      <c r="C67" s="49"/>
      <c r="D67" s="50" t="s">
        <v>32</v>
      </c>
      <c r="E67" s="37" t="s">
        <v>87</v>
      </c>
      <c r="F67" s="40">
        <v>2009</v>
      </c>
      <c r="G67" s="43">
        <f>SUM(I67:N67)</f>
        <v>220000</v>
      </c>
      <c r="H67" s="4" t="s">
        <v>15</v>
      </c>
      <c r="I67" s="1">
        <f aca="true" t="shared" si="15" ref="I67:N67">I68+I69+I70</f>
        <v>0</v>
      </c>
      <c r="J67" s="1">
        <f t="shared" si="15"/>
        <v>220000</v>
      </c>
      <c r="K67" s="1">
        <f t="shared" si="15"/>
        <v>0</v>
      </c>
      <c r="L67" s="1">
        <f t="shared" si="15"/>
        <v>0</v>
      </c>
      <c r="M67" s="1">
        <f t="shared" si="15"/>
        <v>0</v>
      </c>
      <c r="N67" s="1">
        <f t="shared" si="15"/>
        <v>0</v>
      </c>
    </row>
    <row r="68" spans="1:14" ht="12.75">
      <c r="A68" s="47"/>
      <c r="B68" s="44"/>
      <c r="C68" s="44"/>
      <c r="D68" s="51"/>
      <c r="E68" s="38"/>
      <c r="F68" s="41"/>
      <c r="G68" s="44"/>
      <c r="H68" s="3" t="s">
        <v>16</v>
      </c>
      <c r="I68" s="1"/>
      <c r="J68" s="1">
        <v>220000</v>
      </c>
      <c r="K68" s="1"/>
      <c r="L68" s="1"/>
      <c r="M68" s="1"/>
      <c r="N68" s="1"/>
    </row>
    <row r="69" spans="1:14" ht="24" customHeight="1">
      <c r="A69" s="47"/>
      <c r="B69" s="44"/>
      <c r="C69" s="44"/>
      <c r="D69" s="51"/>
      <c r="E69" s="38"/>
      <c r="F69" s="41"/>
      <c r="G69" s="44"/>
      <c r="H69" s="5" t="s">
        <v>17</v>
      </c>
      <c r="I69" s="1"/>
      <c r="J69" s="1"/>
      <c r="K69" s="1"/>
      <c r="L69" s="1"/>
      <c r="M69" s="1"/>
      <c r="N69" s="1"/>
    </row>
    <row r="70" spans="1:14" ht="12.75">
      <c r="A70" s="48"/>
      <c r="B70" s="45"/>
      <c r="C70" s="45"/>
      <c r="D70" s="52"/>
      <c r="E70" s="39"/>
      <c r="F70" s="42"/>
      <c r="G70" s="45"/>
      <c r="H70" s="3" t="s">
        <v>18</v>
      </c>
      <c r="I70" s="1"/>
      <c r="J70" s="1"/>
      <c r="K70" s="1"/>
      <c r="L70" s="1"/>
      <c r="M70" s="1"/>
      <c r="N70" s="1"/>
    </row>
    <row r="71" spans="1:14" ht="12.75">
      <c r="A71" s="46"/>
      <c r="B71" s="49"/>
      <c r="C71" s="49"/>
      <c r="D71" s="50" t="s">
        <v>33</v>
      </c>
      <c r="E71" s="37" t="s">
        <v>87</v>
      </c>
      <c r="F71" s="40" t="s">
        <v>94</v>
      </c>
      <c r="G71" s="43">
        <f>SUM(I71:N71)</f>
        <v>220000</v>
      </c>
      <c r="H71" s="4" t="s">
        <v>15</v>
      </c>
      <c r="I71" s="1">
        <f aca="true" t="shared" si="16" ref="I71:N71">SUM(I72:I74)</f>
        <v>0</v>
      </c>
      <c r="J71" s="1">
        <f t="shared" si="16"/>
        <v>15000</v>
      </c>
      <c r="K71" s="1">
        <f t="shared" si="16"/>
        <v>205000</v>
      </c>
      <c r="L71" s="1">
        <f t="shared" si="16"/>
        <v>0</v>
      </c>
      <c r="M71" s="1">
        <f t="shared" si="16"/>
        <v>0</v>
      </c>
      <c r="N71" s="1">
        <f t="shared" si="16"/>
        <v>0</v>
      </c>
    </row>
    <row r="72" spans="1:14" ht="12.75">
      <c r="A72" s="47"/>
      <c r="B72" s="44"/>
      <c r="C72" s="44"/>
      <c r="D72" s="51"/>
      <c r="E72" s="38"/>
      <c r="F72" s="41"/>
      <c r="G72" s="44"/>
      <c r="H72" s="3" t="s">
        <v>16</v>
      </c>
      <c r="I72" s="1"/>
      <c r="J72" s="1">
        <v>15000</v>
      </c>
      <c r="K72" s="1">
        <v>205000</v>
      </c>
      <c r="L72" s="1"/>
      <c r="M72" s="1"/>
      <c r="N72" s="1"/>
    </row>
    <row r="73" spans="1:14" ht="25.5" customHeight="1">
      <c r="A73" s="47"/>
      <c r="B73" s="44"/>
      <c r="C73" s="44"/>
      <c r="D73" s="51"/>
      <c r="E73" s="38"/>
      <c r="F73" s="41"/>
      <c r="G73" s="44"/>
      <c r="H73" s="5" t="s">
        <v>17</v>
      </c>
      <c r="I73" s="1"/>
      <c r="J73" s="1"/>
      <c r="K73" s="1"/>
      <c r="L73" s="1"/>
      <c r="M73" s="1"/>
      <c r="N73" s="1"/>
    </row>
    <row r="74" spans="1:14" ht="12.75">
      <c r="A74" s="48"/>
      <c r="B74" s="45"/>
      <c r="C74" s="45"/>
      <c r="D74" s="52"/>
      <c r="E74" s="39"/>
      <c r="F74" s="42"/>
      <c r="G74" s="45"/>
      <c r="H74" s="3" t="s">
        <v>18</v>
      </c>
      <c r="I74" s="1"/>
      <c r="J74" s="1"/>
      <c r="K74" s="1"/>
      <c r="L74" s="1"/>
      <c r="M74" s="1"/>
      <c r="N74" s="1"/>
    </row>
    <row r="75" spans="1:14" ht="12.75">
      <c r="A75" s="46">
        <v>5</v>
      </c>
      <c r="B75" s="49">
        <v>600</v>
      </c>
      <c r="C75" s="49">
        <v>60016</v>
      </c>
      <c r="D75" s="31" t="s">
        <v>34</v>
      </c>
      <c r="E75" s="37" t="s">
        <v>87</v>
      </c>
      <c r="F75" s="40" t="s">
        <v>97</v>
      </c>
      <c r="G75" s="43">
        <f>SUM(I75:N75)</f>
        <v>1400000</v>
      </c>
      <c r="H75" s="4" t="s">
        <v>15</v>
      </c>
      <c r="I75" s="1">
        <f aca="true" t="shared" si="17" ref="I75:N75">I76+I77+I78</f>
        <v>0</v>
      </c>
      <c r="J75" s="1">
        <f t="shared" si="17"/>
        <v>0</v>
      </c>
      <c r="K75" s="1">
        <f t="shared" si="17"/>
        <v>500000</v>
      </c>
      <c r="L75" s="1">
        <f t="shared" si="17"/>
        <v>550000</v>
      </c>
      <c r="M75" s="1">
        <f t="shared" si="17"/>
        <v>350000</v>
      </c>
      <c r="N75" s="1">
        <f t="shared" si="17"/>
        <v>0</v>
      </c>
    </row>
    <row r="76" spans="1:14" ht="12.75">
      <c r="A76" s="47"/>
      <c r="B76" s="44"/>
      <c r="C76" s="44"/>
      <c r="D76" s="32"/>
      <c r="E76" s="38"/>
      <c r="F76" s="41"/>
      <c r="G76" s="44"/>
      <c r="H76" s="3" t="s">
        <v>16</v>
      </c>
      <c r="I76" s="1">
        <f aca="true" t="shared" si="18" ref="I76:N78">I80+I84</f>
        <v>0</v>
      </c>
      <c r="J76" s="1">
        <f t="shared" si="18"/>
        <v>0</v>
      </c>
      <c r="K76" s="1">
        <f t="shared" si="18"/>
        <v>500000</v>
      </c>
      <c r="L76" s="1">
        <f t="shared" si="18"/>
        <v>550000</v>
      </c>
      <c r="M76" s="1">
        <f t="shared" si="18"/>
        <v>350000</v>
      </c>
      <c r="N76" s="1">
        <f t="shared" si="18"/>
        <v>0</v>
      </c>
    </row>
    <row r="77" spans="1:14" ht="25.5" customHeight="1">
      <c r="A77" s="47"/>
      <c r="B77" s="44"/>
      <c r="C77" s="44"/>
      <c r="D77" s="32"/>
      <c r="E77" s="38"/>
      <c r="F77" s="41"/>
      <c r="G77" s="44"/>
      <c r="H77" s="5" t="s">
        <v>17</v>
      </c>
      <c r="I77" s="1">
        <f t="shared" si="18"/>
        <v>0</v>
      </c>
      <c r="J77" s="1">
        <f t="shared" si="18"/>
        <v>0</v>
      </c>
      <c r="K77" s="1">
        <f t="shared" si="18"/>
        <v>0</v>
      </c>
      <c r="L77" s="1">
        <f t="shared" si="18"/>
        <v>0</v>
      </c>
      <c r="M77" s="1">
        <f t="shared" si="18"/>
        <v>0</v>
      </c>
      <c r="N77" s="1">
        <f t="shared" si="18"/>
        <v>0</v>
      </c>
    </row>
    <row r="78" spans="1:14" ht="12.75">
      <c r="A78" s="48"/>
      <c r="B78" s="45"/>
      <c r="C78" s="45"/>
      <c r="D78" s="33"/>
      <c r="E78" s="39"/>
      <c r="F78" s="42"/>
      <c r="G78" s="45"/>
      <c r="H78" s="3" t="s">
        <v>18</v>
      </c>
      <c r="I78" s="1">
        <f t="shared" si="18"/>
        <v>0</v>
      </c>
      <c r="J78" s="1">
        <f t="shared" si="18"/>
        <v>0</v>
      </c>
      <c r="K78" s="1">
        <f t="shared" si="18"/>
        <v>0</v>
      </c>
      <c r="L78" s="1">
        <f t="shared" si="18"/>
        <v>0</v>
      </c>
      <c r="M78" s="1">
        <f t="shared" si="18"/>
        <v>0</v>
      </c>
      <c r="N78" s="1">
        <f t="shared" si="18"/>
        <v>0</v>
      </c>
    </row>
    <row r="79" spans="1:14" ht="12.75">
      <c r="A79" s="46"/>
      <c r="B79" s="49"/>
      <c r="C79" s="49"/>
      <c r="D79" s="70" t="s">
        <v>35</v>
      </c>
      <c r="E79" s="37" t="s">
        <v>87</v>
      </c>
      <c r="F79" s="40" t="s">
        <v>96</v>
      </c>
      <c r="G79" s="43">
        <f>SUM(I79:N79)</f>
        <v>1050000</v>
      </c>
      <c r="H79" s="4" t="s">
        <v>15</v>
      </c>
      <c r="I79" s="1">
        <f aca="true" t="shared" si="19" ref="I79:N79">I80+I81+I82</f>
        <v>0</v>
      </c>
      <c r="J79" s="1">
        <f t="shared" si="19"/>
        <v>0</v>
      </c>
      <c r="K79" s="1">
        <f t="shared" si="19"/>
        <v>500000</v>
      </c>
      <c r="L79" s="1">
        <f t="shared" si="19"/>
        <v>550000</v>
      </c>
      <c r="M79" s="1">
        <f t="shared" si="19"/>
        <v>0</v>
      </c>
      <c r="N79" s="1">
        <f t="shared" si="19"/>
        <v>0</v>
      </c>
    </row>
    <row r="80" spans="1:14" ht="12.75">
      <c r="A80" s="47"/>
      <c r="B80" s="44"/>
      <c r="C80" s="44"/>
      <c r="D80" s="71"/>
      <c r="E80" s="38"/>
      <c r="F80" s="41"/>
      <c r="G80" s="44"/>
      <c r="H80" s="3" t="s">
        <v>16</v>
      </c>
      <c r="I80" s="1"/>
      <c r="J80" s="1"/>
      <c r="K80" s="1">
        <v>500000</v>
      </c>
      <c r="L80" s="1">
        <v>550000</v>
      </c>
      <c r="M80" s="1"/>
      <c r="N80" s="1"/>
    </row>
    <row r="81" spans="1:14" ht="22.5" customHeight="1">
      <c r="A81" s="47"/>
      <c r="B81" s="44"/>
      <c r="C81" s="44"/>
      <c r="D81" s="71"/>
      <c r="E81" s="38"/>
      <c r="F81" s="41"/>
      <c r="G81" s="44"/>
      <c r="H81" s="5" t="s">
        <v>17</v>
      </c>
      <c r="I81" s="1"/>
      <c r="J81" s="1"/>
      <c r="K81" s="1"/>
      <c r="L81" s="1"/>
      <c r="M81" s="1"/>
      <c r="N81" s="1"/>
    </row>
    <row r="82" spans="1:14" ht="12.75">
      <c r="A82" s="48"/>
      <c r="B82" s="45"/>
      <c r="C82" s="45"/>
      <c r="D82" s="72"/>
      <c r="E82" s="39"/>
      <c r="F82" s="42"/>
      <c r="G82" s="45"/>
      <c r="H82" s="3" t="s">
        <v>18</v>
      </c>
      <c r="I82" s="1"/>
      <c r="J82" s="1"/>
      <c r="K82" s="1"/>
      <c r="L82" s="1"/>
      <c r="M82" s="1"/>
      <c r="N82" s="1"/>
    </row>
    <row r="83" spans="1:14" ht="12.75">
      <c r="A83" s="46"/>
      <c r="B83" s="49"/>
      <c r="C83" s="49"/>
      <c r="D83" s="70" t="s">
        <v>36</v>
      </c>
      <c r="E83" s="37" t="s">
        <v>87</v>
      </c>
      <c r="F83" s="40">
        <v>2012</v>
      </c>
      <c r="G83" s="43">
        <f>SUM(I83:N83)</f>
        <v>350000</v>
      </c>
      <c r="H83" s="4" t="s">
        <v>15</v>
      </c>
      <c r="I83" s="1">
        <f aca="true" t="shared" si="20" ref="I83:N83">I84+I85+I86</f>
        <v>0</v>
      </c>
      <c r="J83" s="1">
        <f t="shared" si="20"/>
        <v>0</v>
      </c>
      <c r="K83" s="1">
        <f t="shared" si="20"/>
        <v>0</v>
      </c>
      <c r="L83" s="1">
        <f t="shared" si="20"/>
        <v>0</v>
      </c>
      <c r="M83" s="1">
        <f t="shared" si="20"/>
        <v>350000</v>
      </c>
      <c r="N83" s="1">
        <f t="shared" si="20"/>
        <v>0</v>
      </c>
    </row>
    <row r="84" spans="1:14" ht="12.75">
      <c r="A84" s="47"/>
      <c r="B84" s="44"/>
      <c r="C84" s="44"/>
      <c r="D84" s="71"/>
      <c r="E84" s="38"/>
      <c r="F84" s="41"/>
      <c r="G84" s="44"/>
      <c r="H84" s="3" t="s">
        <v>16</v>
      </c>
      <c r="I84" s="1"/>
      <c r="J84" s="1"/>
      <c r="K84" s="1"/>
      <c r="L84" s="1"/>
      <c r="M84" s="1">
        <v>350000</v>
      </c>
      <c r="N84" s="1"/>
    </row>
    <row r="85" spans="1:14" ht="24" customHeight="1">
      <c r="A85" s="47"/>
      <c r="B85" s="44"/>
      <c r="C85" s="44"/>
      <c r="D85" s="71"/>
      <c r="E85" s="38"/>
      <c r="F85" s="41"/>
      <c r="G85" s="44"/>
      <c r="H85" s="5" t="s">
        <v>17</v>
      </c>
      <c r="I85" s="1"/>
      <c r="J85" s="1"/>
      <c r="K85" s="1"/>
      <c r="L85" s="1"/>
      <c r="M85" s="1"/>
      <c r="N85" s="1"/>
    </row>
    <row r="86" spans="1:14" ht="12.75">
      <c r="A86" s="48"/>
      <c r="B86" s="45"/>
      <c r="C86" s="45"/>
      <c r="D86" s="72"/>
      <c r="E86" s="39"/>
      <c r="F86" s="42"/>
      <c r="G86" s="45"/>
      <c r="H86" s="3" t="s">
        <v>18</v>
      </c>
      <c r="I86" s="1"/>
      <c r="J86" s="1"/>
      <c r="K86" s="1"/>
      <c r="L86" s="1"/>
      <c r="M86" s="1"/>
      <c r="N86" s="1"/>
    </row>
    <row r="87" spans="1:14" ht="12.75">
      <c r="A87" s="46">
        <v>6</v>
      </c>
      <c r="B87" s="49">
        <v>600</v>
      </c>
      <c r="C87" s="49">
        <v>60016</v>
      </c>
      <c r="D87" s="31" t="s">
        <v>109</v>
      </c>
      <c r="E87" s="37" t="s">
        <v>87</v>
      </c>
      <c r="F87" s="40" t="s">
        <v>93</v>
      </c>
      <c r="G87" s="43">
        <f>SUM(I87:N87)</f>
        <v>2550000</v>
      </c>
      <c r="H87" s="4" t="s">
        <v>15</v>
      </c>
      <c r="I87" s="1">
        <f aca="true" t="shared" si="21" ref="I87:N87">I88+I89+I90</f>
        <v>100000</v>
      </c>
      <c r="J87" s="1">
        <f t="shared" si="21"/>
        <v>2450000</v>
      </c>
      <c r="K87" s="1">
        <f t="shared" si="21"/>
        <v>0</v>
      </c>
      <c r="L87" s="1">
        <f t="shared" si="21"/>
        <v>0</v>
      </c>
      <c r="M87" s="1">
        <f t="shared" si="21"/>
        <v>0</v>
      </c>
      <c r="N87" s="1">
        <f t="shared" si="21"/>
        <v>0</v>
      </c>
    </row>
    <row r="88" spans="1:14" ht="12.75">
      <c r="A88" s="47"/>
      <c r="B88" s="44"/>
      <c r="C88" s="44"/>
      <c r="D88" s="32"/>
      <c r="E88" s="38"/>
      <c r="F88" s="41"/>
      <c r="G88" s="44"/>
      <c r="H88" s="3" t="s">
        <v>16</v>
      </c>
      <c r="I88" s="1">
        <f>1000000-500000-400000</f>
        <v>100000</v>
      </c>
      <c r="J88" s="1">
        <f>1450000+500000+500000</f>
        <v>2450000</v>
      </c>
      <c r="K88" s="1"/>
      <c r="L88" s="1"/>
      <c r="M88" s="1"/>
      <c r="N88" s="1"/>
    </row>
    <row r="89" spans="1:14" ht="23.25" customHeight="1">
      <c r="A89" s="47"/>
      <c r="B89" s="44"/>
      <c r="C89" s="44"/>
      <c r="D89" s="32"/>
      <c r="E89" s="38"/>
      <c r="F89" s="41"/>
      <c r="G89" s="44"/>
      <c r="H89" s="5" t="s">
        <v>17</v>
      </c>
      <c r="I89" s="1"/>
      <c r="J89" s="1"/>
      <c r="K89" s="1"/>
      <c r="L89" s="1"/>
      <c r="M89" s="1"/>
      <c r="N89" s="1"/>
    </row>
    <row r="90" spans="1:14" ht="12.75">
      <c r="A90" s="48"/>
      <c r="B90" s="45"/>
      <c r="C90" s="45"/>
      <c r="D90" s="33"/>
      <c r="E90" s="39"/>
      <c r="F90" s="42"/>
      <c r="G90" s="45"/>
      <c r="H90" s="3" t="s">
        <v>18</v>
      </c>
      <c r="I90" s="1"/>
      <c r="J90" s="1"/>
      <c r="K90" s="1"/>
      <c r="L90" s="1"/>
      <c r="M90" s="1"/>
      <c r="N90" s="1"/>
    </row>
    <row r="91" spans="1:14" ht="12.75">
      <c r="A91" s="46">
        <v>7</v>
      </c>
      <c r="B91" s="49">
        <v>600</v>
      </c>
      <c r="C91" s="49">
        <v>60016</v>
      </c>
      <c r="D91" s="31" t="s">
        <v>37</v>
      </c>
      <c r="E91" s="37" t="s">
        <v>87</v>
      </c>
      <c r="F91" s="49" t="s">
        <v>100</v>
      </c>
      <c r="G91" s="43">
        <f>SUM(I91:N91)</f>
        <v>14973770</v>
      </c>
      <c r="H91" s="4" t="s">
        <v>15</v>
      </c>
      <c r="I91" s="1">
        <f aca="true" t="shared" si="22" ref="I91:N91">I92+I93+I94</f>
        <v>34770</v>
      </c>
      <c r="J91" s="1">
        <f t="shared" si="22"/>
        <v>0</v>
      </c>
      <c r="K91" s="1">
        <f t="shared" si="22"/>
        <v>439000</v>
      </c>
      <c r="L91" s="1">
        <f t="shared" si="22"/>
        <v>5000000</v>
      </c>
      <c r="M91" s="1">
        <f t="shared" si="22"/>
        <v>9500000</v>
      </c>
      <c r="N91" s="1">
        <f t="shared" si="22"/>
        <v>0</v>
      </c>
    </row>
    <row r="92" spans="1:14" ht="12.75">
      <c r="A92" s="47"/>
      <c r="B92" s="44"/>
      <c r="C92" s="44"/>
      <c r="D92" s="32"/>
      <c r="E92" s="38"/>
      <c r="F92" s="44"/>
      <c r="G92" s="44"/>
      <c r="H92" s="3" t="s">
        <v>16</v>
      </c>
      <c r="I92" s="1">
        <v>34770</v>
      </c>
      <c r="J92" s="1"/>
      <c r="K92" s="1">
        <v>65850</v>
      </c>
      <c r="L92" s="1">
        <v>750000</v>
      </c>
      <c r="M92" s="1">
        <v>1425000</v>
      </c>
      <c r="N92" s="1"/>
    </row>
    <row r="93" spans="1:14" ht="22.5">
      <c r="A93" s="47"/>
      <c r="B93" s="44"/>
      <c r="C93" s="44"/>
      <c r="D93" s="32"/>
      <c r="E93" s="38"/>
      <c r="F93" s="44"/>
      <c r="G93" s="44"/>
      <c r="H93" s="5" t="s">
        <v>17</v>
      </c>
      <c r="I93" s="1"/>
      <c r="J93" s="1"/>
      <c r="K93" s="1"/>
      <c r="L93" s="1"/>
      <c r="M93" s="1"/>
      <c r="N93" s="1"/>
    </row>
    <row r="94" spans="1:14" ht="12.75">
      <c r="A94" s="48"/>
      <c r="B94" s="45"/>
      <c r="C94" s="45"/>
      <c r="D94" s="33"/>
      <c r="E94" s="39"/>
      <c r="F94" s="45"/>
      <c r="G94" s="45"/>
      <c r="H94" s="3" t="s">
        <v>18</v>
      </c>
      <c r="I94" s="1"/>
      <c r="J94" s="1"/>
      <c r="K94" s="1">
        <v>373150</v>
      </c>
      <c r="L94" s="1">
        <v>4250000</v>
      </c>
      <c r="M94" s="1">
        <v>8075000</v>
      </c>
      <c r="N94" s="1"/>
    </row>
    <row r="95" spans="1:14" ht="12.75">
      <c r="A95" s="46">
        <v>8</v>
      </c>
      <c r="B95" s="49">
        <v>600</v>
      </c>
      <c r="C95" s="49">
        <v>60016</v>
      </c>
      <c r="D95" s="56" t="s">
        <v>38</v>
      </c>
      <c r="E95" s="37" t="s">
        <v>87</v>
      </c>
      <c r="F95" s="49" t="s">
        <v>92</v>
      </c>
      <c r="G95" s="43">
        <f>SUM(I95:N95)</f>
        <v>1460000</v>
      </c>
      <c r="H95" s="4" t="s">
        <v>15</v>
      </c>
      <c r="I95" s="1">
        <f aca="true" t="shared" si="23" ref="I95:N95">I96+I97+I98</f>
        <v>15000</v>
      </c>
      <c r="J95" s="1">
        <f t="shared" si="23"/>
        <v>645000</v>
      </c>
      <c r="K95" s="1">
        <f t="shared" si="23"/>
        <v>800000</v>
      </c>
      <c r="L95" s="1">
        <f t="shared" si="23"/>
        <v>0</v>
      </c>
      <c r="M95" s="1">
        <f t="shared" si="23"/>
        <v>0</v>
      </c>
      <c r="N95" s="1">
        <f t="shared" si="23"/>
        <v>0</v>
      </c>
    </row>
    <row r="96" spans="1:14" ht="12.75">
      <c r="A96" s="47"/>
      <c r="B96" s="44"/>
      <c r="C96" s="44"/>
      <c r="D96" s="57"/>
      <c r="E96" s="38"/>
      <c r="F96" s="44"/>
      <c r="G96" s="44"/>
      <c r="H96" s="3" t="s">
        <v>16</v>
      </c>
      <c r="I96" s="1">
        <v>15000</v>
      </c>
      <c r="J96" s="1">
        <v>96750</v>
      </c>
      <c r="K96" s="1">
        <v>120000</v>
      </c>
      <c r="L96" s="1"/>
      <c r="M96" s="1"/>
      <c r="N96" s="1"/>
    </row>
    <row r="97" spans="1:14" ht="22.5">
      <c r="A97" s="47"/>
      <c r="B97" s="44"/>
      <c r="C97" s="44"/>
      <c r="D97" s="57"/>
      <c r="E97" s="38"/>
      <c r="F97" s="44"/>
      <c r="G97" s="44"/>
      <c r="H97" s="5" t="s">
        <v>17</v>
      </c>
      <c r="I97" s="1"/>
      <c r="J97" s="1"/>
      <c r="K97" s="1"/>
      <c r="L97" s="1"/>
      <c r="M97" s="1"/>
      <c r="N97" s="1"/>
    </row>
    <row r="98" spans="1:14" ht="12.75">
      <c r="A98" s="48"/>
      <c r="B98" s="45"/>
      <c r="C98" s="45"/>
      <c r="D98" s="30"/>
      <c r="E98" s="39"/>
      <c r="F98" s="45"/>
      <c r="G98" s="45"/>
      <c r="H98" s="3" t="s">
        <v>18</v>
      </c>
      <c r="I98" s="1"/>
      <c r="J98" s="1">
        <v>548250</v>
      </c>
      <c r="K98" s="1">
        <v>680000</v>
      </c>
      <c r="L98" s="1"/>
      <c r="M98" s="1"/>
      <c r="N98" s="1"/>
    </row>
    <row r="99" spans="1:14" ht="12.75">
      <c r="A99" s="46">
        <v>9</v>
      </c>
      <c r="B99" s="49">
        <v>600</v>
      </c>
      <c r="C99" s="49">
        <v>60016</v>
      </c>
      <c r="D99" s="56" t="s">
        <v>39</v>
      </c>
      <c r="E99" s="37" t="s">
        <v>87</v>
      </c>
      <c r="F99" s="49" t="s">
        <v>93</v>
      </c>
      <c r="G99" s="43">
        <f>SUM(I99:N99)</f>
        <v>728180</v>
      </c>
      <c r="H99" s="4" t="s">
        <v>15</v>
      </c>
      <c r="I99" s="1">
        <f aca="true" t="shared" si="24" ref="I99:N99">I100+I101+I102</f>
        <v>8180</v>
      </c>
      <c r="J99" s="1">
        <f t="shared" si="24"/>
        <v>720000</v>
      </c>
      <c r="K99" s="1">
        <f t="shared" si="24"/>
        <v>0</v>
      </c>
      <c r="L99" s="1">
        <f t="shared" si="24"/>
        <v>0</v>
      </c>
      <c r="M99" s="1">
        <f t="shared" si="24"/>
        <v>0</v>
      </c>
      <c r="N99" s="1">
        <f t="shared" si="24"/>
        <v>0</v>
      </c>
    </row>
    <row r="100" spans="1:14" ht="12.75">
      <c r="A100" s="47"/>
      <c r="B100" s="44"/>
      <c r="C100" s="44"/>
      <c r="D100" s="57"/>
      <c r="E100" s="38"/>
      <c r="F100" s="44"/>
      <c r="G100" s="44"/>
      <c r="H100" s="3" t="s">
        <v>16</v>
      </c>
      <c r="I100" s="1">
        <v>8180</v>
      </c>
      <c r="J100" s="1">
        <v>108000</v>
      </c>
      <c r="K100" s="1"/>
      <c r="L100" s="1"/>
      <c r="M100" s="1"/>
      <c r="N100" s="1"/>
    </row>
    <row r="101" spans="1:14" ht="22.5">
      <c r="A101" s="47"/>
      <c r="B101" s="44"/>
      <c r="C101" s="44"/>
      <c r="D101" s="57"/>
      <c r="E101" s="38"/>
      <c r="F101" s="44"/>
      <c r="G101" s="44"/>
      <c r="H101" s="5" t="s">
        <v>17</v>
      </c>
      <c r="I101" s="1"/>
      <c r="J101" s="1"/>
      <c r="K101" s="1"/>
      <c r="L101" s="1"/>
      <c r="M101" s="1"/>
      <c r="N101" s="1"/>
    </row>
    <row r="102" spans="1:14" ht="12.75">
      <c r="A102" s="48"/>
      <c r="B102" s="45"/>
      <c r="C102" s="45"/>
      <c r="D102" s="30"/>
      <c r="E102" s="39"/>
      <c r="F102" s="45"/>
      <c r="G102" s="45"/>
      <c r="H102" s="3" t="s">
        <v>18</v>
      </c>
      <c r="I102" s="1"/>
      <c r="J102" s="1">
        <v>612000</v>
      </c>
      <c r="K102" s="1"/>
      <c r="L102" s="1"/>
      <c r="M102" s="1"/>
      <c r="N102" s="1"/>
    </row>
    <row r="103" spans="1:14" ht="12.75">
      <c r="A103" s="46">
        <v>10</v>
      </c>
      <c r="B103" s="49">
        <v>600</v>
      </c>
      <c r="C103" s="49">
        <v>60016</v>
      </c>
      <c r="D103" s="31" t="s">
        <v>40</v>
      </c>
      <c r="E103" s="37" t="s">
        <v>87</v>
      </c>
      <c r="F103" s="49" t="s">
        <v>94</v>
      </c>
      <c r="G103" s="43">
        <f>SUM(I103:N103)</f>
        <v>1500000</v>
      </c>
      <c r="H103" s="4" t="s">
        <v>15</v>
      </c>
      <c r="I103" s="1">
        <f aca="true" t="shared" si="25" ref="I103:N103">SUM(I104:I106)</f>
        <v>0</v>
      </c>
      <c r="J103" s="1">
        <f t="shared" si="25"/>
        <v>500000</v>
      </c>
      <c r="K103" s="1">
        <f t="shared" si="25"/>
        <v>1000000</v>
      </c>
      <c r="L103" s="1">
        <f t="shared" si="25"/>
        <v>0</v>
      </c>
      <c r="M103" s="1">
        <f t="shared" si="25"/>
        <v>0</v>
      </c>
      <c r="N103" s="1">
        <f t="shared" si="25"/>
        <v>0</v>
      </c>
    </row>
    <row r="104" spans="1:14" ht="12.75">
      <c r="A104" s="47"/>
      <c r="B104" s="44"/>
      <c r="C104" s="44"/>
      <c r="D104" s="32"/>
      <c r="E104" s="38"/>
      <c r="F104" s="44"/>
      <c r="G104" s="44"/>
      <c r="H104" s="3" t="s">
        <v>16</v>
      </c>
      <c r="I104" s="1"/>
      <c r="J104" s="1">
        <v>500000</v>
      </c>
      <c r="K104" s="1">
        <v>1000000</v>
      </c>
      <c r="L104" s="1"/>
      <c r="M104" s="1"/>
      <c r="N104" s="1"/>
    </row>
    <row r="105" spans="1:14" ht="22.5">
      <c r="A105" s="47"/>
      <c r="B105" s="44"/>
      <c r="C105" s="44"/>
      <c r="D105" s="32"/>
      <c r="E105" s="38"/>
      <c r="F105" s="44"/>
      <c r="G105" s="44"/>
      <c r="H105" s="5" t="s">
        <v>17</v>
      </c>
      <c r="I105" s="1"/>
      <c r="J105" s="1"/>
      <c r="K105" s="1"/>
      <c r="L105" s="1"/>
      <c r="M105" s="1"/>
      <c r="N105" s="1"/>
    </row>
    <row r="106" spans="1:14" ht="13.5" customHeight="1">
      <c r="A106" s="48"/>
      <c r="B106" s="45"/>
      <c r="C106" s="45"/>
      <c r="D106" s="33"/>
      <c r="E106" s="39"/>
      <c r="F106" s="45"/>
      <c r="G106" s="45"/>
      <c r="H106" s="3" t="s">
        <v>18</v>
      </c>
      <c r="I106" s="1"/>
      <c r="J106" s="1"/>
      <c r="K106" s="1"/>
      <c r="L106" s="1"/>
      <c r="M106" s="1"/>
      <c r="N106" s="1"/>
    </row>
    <row r="107" spans="1:14" ht="12.75">
      <c r="A107" s="46">
        <v>11</v>
      </c>
      <c r="B107" s="49">
        <v>600</v>
      </c>
      <c r="C107" s="49">
        <v>60016</v>
      </c>
      <c r="D107" s="31" t="s">
        <v>41</v>
      </c>
      <c r="E107" s="37" t="s">
        <v>87</v>
      </c>
      <c r="F107" s="49" t="s">
        <v>92</v>
      </c>
      <c r="G107" s="43">
        <f>SUM(I107:N107)</f>
        <v>956710</v>
      </c>
      <c r="H107" s="4" t="s">
        <v>15</v>
      </c>
      <c r="I107" s="1">
        <f aca="true" t="shared" si="26" ref="I107:N107">SUM(I108:I110)</f>
        <v>306710</v>
      </c>
      <c r="J107" s="1">
        <f t="shared" si="26"/>
        <v>650000</v>
      </c>
      <c r="K107" s="1">
        <f t="shared" si="26"/>
        <v>0</v>
      </c>
      <c r="L107" s="1">
        <f t="shared" si="26"/>
        <v>0</v>
      </c>
      <c r="M107" s="1">
        <f t="shared" si="26"/>
        <v>0</v>
      </c>
      <c r="N107" s="1">
        <f t="shared" si="26"/>
        <v>0</v>
      </c>
    </row>
    <row r="108" spans="1:14" ht="12.75">
      <c r="A108" s="47"/>
      <c r="B108" s="44"/>
      <c r="C108" s="44"/>
      <c r="D108" s="32"/>
      <c r="E108" s="38"/>
      <c r="F108" s="44"/>
      <c r="G108" s="44"/>
      <c r="H108" s="3" t="s">
        <v>16</v>
      </c>
      <c r="I108" s="1">
        <f>6710+150000</f>
        <v>156710</v>
      </c>
      <c r="J108" s="1">
        <f>75000+225000</f>
        <v>300000</v>
      </c>
      <c r="K108" s="1"/>
      <c r="L108" s="1"/>
      <c r="M108" s="1"/>
      <c r="N108" s="1"/>
    </row>
    <row r="109" spans="1:14" ht="37.5" customHeight="1">
      <c r="A109" s="47"/>
      <c r="B109" s="44"/>
      <c r="C109" s="44"/>
      <c r="D109" s="32"/>
      <c r="E109" s="38"/>
      <c r="F109" s="44"/>
      <c r="G109" s="44"/>
      <c r="H109" s="5" t="s">
        <v>17</v>
      </c>
      <c r="I109" s="1"/>
      <c r="J109" s="1"/>
      <c r="K109" s="1"/>
      <c r="L109" s="1"/>
      <c r="M109" s="1"/>
      <c r="N109" s="1"/>
    </row>
    <row r="110" spans="1:14" ht="12.75">
      <c r="A110" s="48"/>
      <c r="B110" s="45"/>
      <c r="C110" s="45"/>
      <c r="D110" s="33"/>
      <c r="E110" s="39"/>
      <c r="F110" s="45"/>
      <c r="G110" s="45"/>
      <c r="H110" s="3" t="s">
        <v>18</v>
      </c>
      <c r="I110" s="1">
        <f>150000</f>
        <v>150000</v>
      </c>
      <c r="J110" s="1">
        <f>425000-75000</f>
        <v>350000</v>
      </c>
      <c r="K110" s="1"/>
      <c r="L110" s="1"/>
      <c r="M110" s="1"/>
      <c r="N110" s="1"/>
    </row>
    <row r="111" spans="1:14" ht="12.75">
      <c r="A111" s="46">
        <v>12</v>
      </c>
      <c r="B111" s="49">
        <v>600</v>
      </c>
      <c r="C111" s="49">
        <v>60016</v>
      </c>
      <c r="D111" s="56" t="s">
        <v>42</v>
      </c>
      <c r="E111" s="37" t="s">
        <v>87</v>
      </c>
      <c r="F111" s="49">
        <v>2010</v>
      </c>
      <c r="G111" s="43">
        <f>SUM(I111:N111)</f>
        <v>261000</v>
      </c>
      <c r="H111" s="4" t="s">
        <v>15</v>
      </c>
      <c r="I111" s="1">
        <f aca="true" t="shared" si="27" ref="I111:N111">SUM(I112:I114)</f>
        <v>11000</v>
      </c>
      <c r="J111" s="1">
        <f t="shared" si="27"/>
        <v>0</v>
      </c>
      <c r="K111" s="1">
        <f t="shared" si="27"/>
        <v>250000</v>
      </c>
      <c r="L111" s="1">
        <f t="shared" si="27"/>
        <v>0</v>
      </c>
      <c r="M111" s="1">
        <f t="shared" si="27"/>
        <v>0</v>
      </c>
      <c r="N111" s="1">
        <f t="shared" si="27"/>
        <v>0</v>
      </c>
    </row>
    <row r="112" spans="1:14" ht="22.5" customHeight="1">
      <c r="A112" s="47"/>
      <c r="B112" s="44"/>
      <c r="C112" s="44"/>
      <c r="D112" s="57"/>
      <c r="E112" s="38"/>
      <c r="F112" s="44"/>
      <c r="G112" s="44"/>
      <c r="H112" s="3" t="s">
        <v>16</v>
      </c>
      <c r="I112" s="1">
        <f aca="true" t="shared" si="28" ref="I112:N114">I116</f>
        <v>11000</v>
      </c>
      <c r="J112" s="1">
        <f t="shared" si="28"/>
        <v>0</v>
      </c>
      <c r="K112" s="1">
        <f t="shared" si="28"/>
        <v>250000</v>
      </c>
      <c r="L112" s="1">
        <f t="shared" si="28"/>
        <v>0</v>
      </c>
      <c r="M112" s="1">
        <f t="shared" si="28"/>
        <v>0</v>
      </c>
      <c r="N112" s="1">
        <f t="shared" si="28"/>
        <v>0</v>
      </c>
    </row>
    <row r="113" spans="1:14" ht="22.5">
      <c r="A113" s="47"/>
      <c r="B113" s="44"/>
      <c r="C113" s="44"/>
      <c r="D113" s="57"/>
      <c r="E113" s="38"/>
      <c r="F113" s="44"/>
      <c r="G113" s="44"/>
      <c r="H113" s="5" t="s">
        <v>17</v>
      </c>
      <c r="I113" s="1">
        <f t="shared" si="28"/>
        <v>0</v>
      </c>
      <c r="J113" s="1">
        <f t="shared" si="28"/>
        <v>0</v>
      </c>
      <c r="K113" s="1">
        <f t="shared" si="28"/>
        <v>0</v>
      </c>
      <c r="L113" s="1">
        <f t="shared" si="28"/>
        <v>0</v>
      </c>
      <c r="M113" s="1">
        <f t="shared" si="28"/>
        <v>0</v>
      </c>
      <c r="N113" s="1">
        <f t="shared" si="28"/>
        <v>0</v>
      </c>
    </row>
    <row r="114" spans="1:14" ht="12.75">
      <c r="A114" s="48"/>
      <c r="B114" s="45"/>
      <c r="C114" s="45"/>
      <c r="D114" s="30"/>
      <c r="E114" s="39"/>
      <c r="F114" s="45"/>
      <c r="G114" s="45"/>
      <c r="H114" s="3" t="s">
        <v>18</v>
      </c>
      <c r="I114" s="1">
        <f t="shared" si="28"/>
        <v>0</v>
      </c>
      <c r="J114" s="1">
        <f t="shared" si="28"/>
        <v>0</v>
      </c>
      <c r="K114" s="1">
        <f t="shared" si="28"/>
        <v>0</v>
      </c>
      <c r="L114" s="1">
        <f t="shared" si="28"/>
        <v>0</v>
      </c>
      <c r="M114" s="1">
        <f t="shared" si="28"/>
        <v>0</v>
      </c>
      <c r="N114" s="1">
        <f t="shared" si="28"/>
        <v>0</v>
      </c>
    </row>
    <row r="115" spans="1:14" ht="12.75">
      <c r="A115" s="46"/>
      <c r="B115" s="49"/>
      <c r="C115" s="49"/>
      <c r="D115" s="50" t="s">
        <v>43</v>
      </c>
      <c r="E115" s="37" t="s">
        <v>87</v>
      </c>
      <c r="F115" s="49">
        <v>2010</v>
      </c>
      <c r="G115" s="43">
        <f>SUM(I115:N115)</f>
        <v>261000</v>
      </c>
      <c r="H115" s="4" t="s">
        <v>15</v>
      </c>
      <c r="I115" s="1">
        <f aca="true" t="shared" si="29" ref="I115:N115">SUM(I116:I118)</f>
        <v>11000</v>
      </c>
      <c r="J115" s="1">
        <f t="shared" si="29"/>
        <v>0</v>
      </c>
      <c r="K115" s="1">
        <f t="shared" si="29"/>
        <v>250000</v>
      </c>
      <c r="L115" s="1">
        <f t="shared" si="29"/>
        <v>0</v>
      </c>
      <c r="M115" s="1">
        <f t="shared" si="29"/>
        <v>0</v>
      </c>
      <c r="N115" s="1">
        <f t="shared" si="29"/>
        <v>0</v>
      </c>
    </row>
    <row r="116" spans="1:14" ht="12.75">
      <c r="A116" s="47"/>
      <c r="B116" s="44"/>
      <c r="C116" s="44"/>
      <c r="D116" s="51"/>
      <c r="E116" s="38"/>
      <c r="F116" s="44"/>
      <c r="G116" s="44"/>
      <c r="H116" s="3" t="s">
        <v>16</v>
      </c>
      <c r="I116" s="1">
        <v>11000</v>
      </c>
      <c r="J116" s="1"/>
      <c r="K116" s="1">
        <v>250000</v>
      </c>
      <c r="L116" s="1"/>
      <c r="M116" s="1"/>
      <c r="N116" s="1"/>
    </row>
    <row r="117" spans="1:14" ht="22.5">
      <c r="A117" s="47"/>
      <c r="B117" s="44"/>
      <c r="C117" s="44"/>
      <c r="D117" s="51"/>
      <c r="E117" s="38"/>
      <c r="F117" s="44"/>
      <c r="G117" s="44"/>
      <c r="H117" s="5" t="s">
        <v>17</v>
      </c>
      <c r="I117" s="1"/>
      <c r="J117" s="1"/>
      <c r="K117" s="1"/>
      <c r="L117" s="1"/>
      <c r="M117" s="1"/>
      <c r="N117" s="1"/>
    </row>
    <row r="118" spans="1:14" ht="12.75">
      <c r="A118" s="48"/>
      <c r="B118" s="45"/>
      <c r="C118" s="45"/>
      <c r="D118" s="52"/>
      <c r="E118" s="39"/>
      <c r="F118" s="45"/>
      <c r="G118" s="45"/>
      <c r="H118" s="3" t="s">
        <v>18</v>
      </c>
      <c r="I118" s="1"/>
      <c r="J118" s="1"/>
      <c r="K118" s="1"/>
      <c r="L118" s="1"/>
      <c r="M118" s="1"/>
      <c r="N118" s="1"/>
    </row>
    <row r="119" spans="1:14" ht="12.75">
      <c r="A119" s="46">
        <v>13</v>
      </c>
      <c r="B119" s="49">
        <v>600</v>
      </c>
      <c r="C119" s="49">
        <v>60016</v>
      </c>
      <c r="D119" s="56" t="s">
        <v>44</v>
      </c>
      <c r="E119" s="37" t="s">
        <v>87</v>
      </c>
      <c r="F119" s="49" t="s">
        <v>98</v>
      </c>
      <c r="G119" s="43">
        <f>SUM(I119:N119)</f>
        <v>1550000</v>
      </c>
      <c r="H119" s="4" t="s">
        <v>15</v>
      </c>
      <c r="I119" s="1">
        <f aca="true" t="shared" si="30" ref="I119:N119">SUM(I120:I122)</f>
        <v>0</v>
      </c>
      <c r="J119" s="1">
        <f t="shared" si="30"/>
        <v>300000</v>
      </c>
      <c r="K119" s="1">
        <f t="shared" si="30"/>
        <v>610000</v>
      </c>
      <c r="L119" s="1">
        <f t="shared" si="30"/>
        <v>640000</v>
      </c>
      <c r="M119" s="1">
        <f t="shared" si="30"/>
        <v>0</v>
      </c>
      <c r="N119" s="1">
        <f t="shared" si="30"/>
        <v>0</v>
      </c>
    </row>
    <row r="120" spans="1:14" ht="12.75">
      <c r="A120" s="47"/>
      <c r="B120" s="44"/>
      <c r="C120" s="44"/>
      <c r="D120" s="57"/>
      <c r="E120" s="38"/>
      <c r="F120" s="44"/>
      <c r="G120" s="44"/>
      <c r="H120" s="3" t="s">
        <v>16</v>
      </c>
      <c r="I120" s="1">
        <f aca="true" t="shared" si="31" ref="I120:N122">I124+I128+I132+I136+I140</f>
        <v>0</v>
      </c>
      <c r="J120" s="1">
        <f t="shared" si="31"/>
        <v>300000</v>
      </c>
      <c r="K120" s="1">
        <f t="shared" si="31"/>
        <v>610000</v>
      </c>
      <c r="L120" s="1">
        <f t="shared" si="31"/>
        <v>640000</v>
      </c>
      <c r="M120" s="1">
        <f t="shared" si="31"/>
        <v>0</v>
      </c>
      <c r="N120" s="1">
        <f t="shared" si="31"/>
        <v>0</v>
      </c>
    </row>
    <row r="121" spans="1:14" ht="22.5">
      <c r="A121" s="47"/>
      <c r="B121" s="44"/>
      <c r="C121" s="44"/>
      <c r="D121" s="57"/>
      <c r="E121" s="38"/>
      <c r="F121" s="44"/>
      <c r="G121" s="44"/>
      <c r="H121" s="5" t="s">
        <v>17</v>
      </c>
      <c r="I121" s="1">
        <f t="shared" si="31"/>
        <v>0</v>
      </c>
      <c r="J121" s="1">
        <f t="shared" si="31"/>
        <v>0</v>
      </c>
      <c r="K121" s="1">
        <f t="shared" si="31"/>
        <v>0</v>
      </c>
      <c r="L121" s="1">
        <f t="shared" si="31"/>
        <v>0</v>
      </c>
      <c r="M121" s="1">
        <f t="shared" si="31"/>
        <v>0</v>
      </c>
      <c r="N121" s="1">
        <f t="shared" si="31"/>
        <v>0</v>
      </c>
    </row>
    <row r="122" spans="1:14" ht="12.75">
      <c r="A122" s="48"/>
      <c r="B122" s="45"/>
      <c r="C122" s="45"/>
      <c r="D122" s="30"/>
      <c r="E122" s="39"/>
      <c r="F122" s="45"/>
      <c r="G122" s="45"/>
      <c r="H122" s="3" t="s">
        <v>18</v>
      </c>
      <c r="I122" s="1">
        <f t="shared" si="31"/>
        <v>0</v>
      </c>
      <c r="J122" s="1">
        <f t="shared" si="31"/>
        <v>0</v>
      </c>
      <c r="K122" s="1">
        <f t="shared" si="31"/>
        <v>0</v>
      </c>
      <c r="L122" s="1">
        <f t="shared" si="31"/>
        <v>0</v>
      </c>
      <c r="M122" s="1">
        <f t="shared" si="31"/>
        <v>0</v>
      </c>
      <c r="N122" s="1">
        <f t="shared" si="31"/>
        <v>0</v>
      </c>
    </row>
    <row r="123" spans="1:14" ht="12.75">
      <c r="A123" s="46"/>
      <c r="B123" s="49"/>
      <c r="C123" s="49"/>
      <c r="D123" s="50" t="s">
        <v>45</v>
      </c>
      <c r="E123" s="37" t="s">
        <v>87</v>
      </c>
      <c r="F123" s="49">
        <v>2009</v>
      </c>
      <c r="G123" s="43">
        <f>SUM(I123:N123)</f>
        <v>300000</v>
      </c>
      <c r="H123" s="4" t="s">
        <v>15</v>
      </c>
      <c r="I123" s="1">
        <f aca="true" t="shared" si="32" ref="I123:N123">SUM(I124:I126)</f>
        <v>0</v>
      </c>
      <c r="J123" s="1">
        <f t="shared" si="32"/>
        <v>300000</v>
      </c>
      <c r="K123" s="1">
        <f t="shared" si="32"/>
        <v>0</v>
      </c>
      <c r="L123" s="1">
        <f t="shared" si="32"/>
        <v>0</v>
      </c>
      <c r="M123" s="1">
        <f t="shared" si="32"/>
        <v>0</v>
      </c>
      <c r="N123" s="1">
        <f t="shared" si="32"/>
        <v>0</v>
      </c>
    </row>
    <row r="124" spans="1:14" ht="12.75">
      <c r="A124" s="47"/>
      <c r="B124" s="44"/>
      <c r="C124" s="44"/>
      <c r="D124" s="51"/>
      <c r="E124" s="38"/>
      <c r="F124" s="44"/>
      <c r="G124" s="44"/>
      <c r="H124" s="3" t="s">
        <v>16</v>
      </c>
      <c r="I124" s="1"/>
      <c r="J124" s="1">
        <v>300000</v>
      </c>
      <c r="K124" s="1"/>
      <c r="L124" s="1"/>
      <c r="M124" s="1"/>
      <c r="N124" s="1"/>
    </row>
    <row r="125" spans="1:14" ht="22.5">
      <c r="A125" s="47"/>
      <c r="B125" s="44"/>
      <c r="C125" s="44"/>
      <c r="D125" s="51"/>
      <c r="E125" s="38"/>
      <c r="F125" s="44"/>
      <c r="G125" s="44"/>
      <c r="H125" s="5" t="s">
        <v>17</v>
      </c>
      <c r="I125" s="1"/>
      <c r="J125" s="1"/>
      <c r="K125" s="1"/>
      <c r="L125" s="1"/>
      <c r="M125" s="1"/>
      <c r="N125" s="1"/>
    </row>
    <row r="126" spans="1:14" ht="12.75">
      <c r="A126" s="48"/>
      <c r="B126" s="45"/>
      <c r="C126" s="45"/>
      <c r="D126" s="52"/>
      <c r="E126" s="39"/>
      <c r="F126" s="45"/>
      <c r="G126" s="45"/>
      <c r="H126" s="3" t="s">
        <v>18</v>
      </c>
      <c r="I126" s="1"/>
      <c r="J126" s="1"/>
      <c r="K126" s="1"/>
      <c r="L126" s="1"/>
      <c r="M126" s="1"/>
      <c r="N126" s="1"/>
    </row>
    <row r="127" spans="1:14" ht="12.75">
      <c r="A127" s="46"/>
      <c r="B127" s="49"/>
      <c r="C127" s="49"/>
      <c r="D127" s="50" t="s">
        <v>46</v>
      </c>
      <c r="E127" s="37" t="s">
        <v>87</v>
      </c>
      <c r="F127" s="40">
        <v>2010</v>
      </c>
      <c r="G127" s="43">
        <f>SUM(I127:N127)</f>
        <v>160000</v>
      </c>
      <c r="H127" s="4" t="s">
        <v>15</v>
      </c>
      <c r="I127" s="1">
        <f aca="true" t="shared" si="33" ref="I127:N127">SUM(I128:I130)</f>
        <v>0</v>
      </c>
      <c r="J127" s="1">
        <f t="shared" si="33"/>
        <v>0</v>
      </c>
      <c r="K127" s="1">
        <f t="shared" si="33"/>
        <v>160000</v>
      </c>
      <c r="L127" s="1">
        <f t="shared" si="33"/>
        <v>0</v>
      </c>
      <c r="M127" s="1">
        <f t="shared" si="33"/>
        <v>0</v>
      </c>
      <c r="N127" s="1">
        <f t="shared" si="33"/>
        <v>0</v>
      </c>
    </row>
    <row r="128" spans="1:14" ht="12.75">
      <c r="A128" s="47"/>
      <c r="B128" s="44"/>
      <c r="C128" s="44"/>
      <c r="D128" s="51"/>
      <c r="E128" s="38"/>
      <c r="F128" s="41"/>
      <c r="G128" s="44"/>
      <c r="H128" s="3" t="s">
        <v>16</v>
      </c>
      <c r="I128" s="1"/>
      <c r="J128" s="1"/>
      <c r="K128" s="1">
        <v>160000</v>
      </c>
      <c r="L128" s="1"/>
      <c r="M128" s="1"/>
      <c r="N128" s="1"/>
    </row>
    <row r="129" spans="1:14" ht="22.5">
      <c r="A129" s="47"/>
      <c r="B129" s="44"/>
      <c r="C129" s="44"/>
      <c r="D129" s="51"/>
      <c r="E129" s="38"/>
      <c r="F129" s="41"/>
      <c r="G129" s="44"/>
      <c r="H129" s="5" t="s">
        <v>17</v>
      </c>
      <c r="I129" s="1"/>
      <c r="J129" s="1"/>
      <c r="K129" s="1"/>
      <c r="L129" s="1"/>
      <c r="M129" s="1"/>
      <c r="N129" s="1"/>
    </row>
    <row r="130" spans="1:14" ht="12.75">
      <c r="A130" s="48"/>
      <c r="B130" s="45"/>
      <c r="C130" s="45"/>
      <c r="D130" s="52"/>
      <c r="E130" s="39"/>
      <c r="F130" s="42"/>
      <c r="G130" s="45"/>
      <c r="H130" s="3" t="s">
        <v>18</v>
      </c>
      <c r="I130" s="1"/>
      <c r="J130" s="1"/>
      <c r="K130" s="1"/>
      <c r="L130" s="1"/>
      <c r="M130" s="1"/>
      <c r="N130" s="1"/>
    </row>
    <row r="131" spans="1:14" ht="12.75">
      <c r="A131" s="46"/>
      <c r="B131" s="49"/>
      <c r="C131" s="49"/>
      <c r="D131" s="50" t="s">
        <v>47</v>
      </c>
      <c r="E131" s="37" t="s">
        <v>87</v>
      </c>
      <c r="F131" s="40">
        <v>2010</v>
      </c>
      <c r="G131" s="43">
        <f>SUM(I131:N131)</f>
        <v>450000</v>
      </c>
      <c r="H131" s="4" t="s">
        <v>15</v>
      </c>
      <c r="I131" s="1">
        <f aca="true" t="shared" si="34" ref="I131:N131">SUM(I132:I134)</f>
        <v>0</v>
      </c>
      <c r="J131" s="1">
        <f t="shared" si="34"/>
        <v>0</v>
      </c>
      <c r="K131" s="1">
        <f t="shared" si="34"/>
        <v>450000</v>
      </c>
      <c r="L131" s="1">
        <f t="shared" si="34"/>
        <v>0</v>
      </c>
      <c r="M131" s="1">
        <f t="shared" si="34"/>
        <v>0</v>
      </c>
      <c r="N131" s="1">
        <f t="shared" si="34"/>
        <v>0</v>
      </c>
    </row>
    <row r="132" spans="1:14" ht="12.75">
      <c r="A132" s="47"/>
      <c r="B132" s="44"/>
      <c r="C132" s="44"/>
      <c r="D132" s="51"/>
      <c r="E132" s="38"/>
      <c r="F132" s="41"/>
      <c r="G132" s="44"/>
      <c r="H132" s="3" t="s">
        <v>16</v>
      </c>
      <c r="I132" s="1"/>
      <c r="J132" s="1"/>
      <c r="K132" s="1">
        <v>450000</v>
      </c>
      <c r="L132" s="1"/>
      <c r="M132" s="1"/>
      <c r="N132" s="1"/>
    </row>
    <row r="133" spans="1:14" ht="22.5">
      <c r="A133" s="47"/>
      <c r="B133" s="44"/>
      <c r="C133" s="44"/>
      <c r="D133" s="51"/>
      <c r="E133" s="38"/>
      <c r="F133" s="41"/>
      <c r="G133" s="44"/>
      <c r="H133" s="5" t="s">
        <v>17</v>
      </c>
      <c r="I133" s="1"/>
      <c r="J133" s="1"/>
      <c r="K133" s="1"/>
      <c r="L133" s="1"/>
      <c r="M133" s="1"/>
      <c r="N133" s="1"/>
    </row>
    <row r="134" spans="1:14" ht="12.75">
      <c r="A134" s="48"/>
      <c r="B134" s="45"/>
      <c r="C134" s="45"/>
      <c r="D134" s="52"/>
      <c r="E134" s="39"/>
      <c r="F134" s="42"/>
      <c r="G134" s="45"/>
      <c r="H134" s="3" t="s">
        <v>18</v>
      </c>
      <c r="I134" s="1"/>
      <c r="J134" s="1"/>
      <c r="K134" s="1"/>
      <c r="L134" s="1"/>
      <c r="M134" s="1"/>
      <c r="N134" s="1"/>
    </row>
    <row r="135" spans="1:14" ht="12.75">
      <c r="A135" s="46"/>
      <c r="B135" s="49"/>
      <c r="C135" s="49"/>
      <c r="D135" s="50" t="s">
        <v>48</v>
      </c>
      <c r="E135" s="37" t="s">
        <v>87</v>
      </c>
      <c r="F135" s="49">
        <v>2011</v>
      </c>
      <c r="G135" s="43">
        <f>SUM(I135:N135)</f>
        <v>640000</v>
      </c>
      <c r="H135" s="4" t="s">
        <v>15</v>
      </c>
      <c r="I135" s="1">
        <f aca="true" t="shared" si="35" ref="I135:N135">SUM(I136:I138)</f>
        <v>0</v>
      </c>
      <c r="J135" s="1">
        <f t="shared" si="35"/>
        <v>0</v>
      </c>
      <c r="K135" s="1">
        <f t="shared" si="35"/>
        <v>0</v>
      </c>
      <c r="L135" s="1">
        <f t="shared" si="35"/>
        <v>640000</v>
      </c>
      <c r="M135" s="1">
        <f t="shared" si="35"/>
        <v>0</v>
      </c>
      <c r="N135" s="1">
        <f t="shared" si="35"/>
        <v>0</v>
      </c>
    </row>
    <row r="136" spans="1:14" ht="12.75">
      <c r="A136" s="47"/>
      <c r="B136" s="44"/>
      <c r="C136" s="44"/>
      <c r="D136" s="51"/>
      <c r="E136" s="38"/>
      <c r="F136" s="44"/>
      <c r="G136" s="44"/>
      <c r="H136" s="3" t="s">
        <v>16</v>
      </c>
      <c r="I136" s="1"/>
      <c r="J136" s="1"/>
      <c r="K136" s="1"/>
      <c r="L136" s="1">
        <v>640000</v>
      </c>
      <c r="M136" s="1"/>
      <c r="N136" s="1"/>
    </row>
    <row r="137" spans="1:14" ht="22.5">
      <c r="A137" s="47"/>
      <c r="B137" s="44"/>
      <c r="C137" s="44"/>
      <c r="D137" s="51"/>
      <c r="E137" s="38"/>
      <c r="F137" s="44"/>
      <c r="G137" s="44"/>
      <c r="H137" s="5" t="s">
        <v>17</v>
      </c>
      <c r="I137" s="1"/>
      <c r="J137" s="1"/>
      <c r="K137" s="1"/>
      <c r="L137" s="1"/>
      <c r="M137" s="1"/>
      <c r="N137" s="1"/>
    </row>
    <row r="138" spans="1:14" ht="12.75">
      <c r="A138" s="48"/>
      <c r="B138" s="45"/>
      <c r="C138" s="45"/>
      <c r="D138" s="52"/>
      <c r="E138" s="39"/>
      <c r="F138" s="45"/>
      <c r="G138" s="45"/>
      <c r="H138" s="3" t="s">
        <v>18</v>
      </c>
      <c r="I138" s="1"/>
      <c r="J138" s="1"/>
      <c r="K138" s="1"/>
      <c r="L138" s="1"/>
      <c r="M138" s="1"/>
      <c r="N138" s="1"/>
    </row>
    <row r="139" spans="1:14" ht="12.75">
      <c r="A139" s="46"/>
      <c r="B139" s="49"/>
      <c r="C139" s="49"/>
      <c r="D139" s="50" t="s">
        <v>49</v>
      </c>
      <c r="E139" s="37" t="s">
        <v>87</v>
      </c>
      <c r="F139" s="49"/>
      <c r="G139" s="43">
        <f>SUM(I139:N139)</f>
        <v>0</v>
      </c>
      <c r="H139" s="4" t="s">
        <v>15</v>
      </c>
      <c r="I139" s="1">
        <f aca="true" t="shared" si="36" ref="I139:N139">SUM(I140:I142)</f>
        <v>0</v>
      </c>
      <c r="J139" s="1">
        <f t="shared" si="36"/>
        <v>0</v>
      </c>
      <c r="K139" s="1">
        <f t="shared" si="36"/>
        <v>0</v>
      </c>
      <c r="L139" s="1">
        <f t="shared" si="36"/>
        <v>0</v>
      </c>
      <c r="M139" s="1">
        <f t="shared" si="36"/>
        <v>0</v>
      </c>
      <c r="N139" s="1">
        <f t="shared" si="36"/>
        <v>0</v>
      </c>
    </row>
    <row r="140" spans="1:14" ht="12.75">
      <c r="A140" s="47"/>
      <c r="B140" s="44"/>
      <c r="C140" s="44"/>
      <c r="D140" s="51"/>
      <c r="E140" s="38"/>
      <c r="F140" s="44"/>
      <c r="G140" s="44"/>
      <c r="H140" s="3" t="s">
        <v>16</v>
      </c>
      <c r="I140" s="1"/>
      <c r="J140" s="1"/>
      <c r="K140" s="1"/>
      <c r="L140" s="1"/>
      <c r="M140" s="1"/>
      <c r="N140" s="1"/>
    </row>
    <row r="141" spans="1:14" ht="22.5">
      <c r="A141" s="47"/>
      <c r="B141" s="44"/>
      <c r="C141" s="44"/>
      <c r="D141" s="51"/>
      <c r="E141" s="38"/>
      <c r="F141" s="44"/>
      <c r="G141" s="44"/>
      <c r="H141" s="5" t="s">
        <v>17</v>
      </c>
      <c r="I141" s="1"/>
      <c r="J141" s="1"/>
      <c r="K141" s="1"/>
      <c r="L141" s="1"/>
      <c r="M141" s="1"/>
      <c r="N141" s="1"/>
    </row>
    <row r="142" spans="1:14" ht="12.75">
      <c r="A142" s="48"/>
      <c r="B142" s="45"/>
      <c r="C142" s="45"/>
      <c r="D142" s="52"/>
      <c r="E142" s="39"/>
      <c r="F142" s="45"/>
      <c r="G142" s="45"/>
      <c r="H142" s="3" t="s">
        <v>18</v>
      </c>
      <c r="I142" s="1"/>
      <c r="J142" s="1"/>
      <c r="K142" s="1"/>
      <c r="L142" s="1"/>
      <c r="M142" s="1"/>
      <c r="N142" s="1"/>
    </row>
    <row r="143" spans="1:14" ht="12.75">
      <c r="A143" s="46">
        <v>14</v>
      </c>
      <c r="B143" s="49">
        <v>600</v>
      </c>
      <c r="C143" s="49">
        <v>60016</v>
      </c>
      <c r="D143" s="56" t="s">
        <v>50</v>
      </c>
      <c r="E143" s="37" t="s">
        <v>87</v>
      </c>
      <c r="F143" s="49" t="s">
        <v>99</v>
      </c>
      <c r="G143" s="43">
        <f>SUM(I143:N143)</f>
        <v>5815000</v>
      </c>
      <c r="H143" s="4" t="s">
        <v>15</v>
      </c>
      <c r="I143" s="1">
        <f aca="true" t="shared" si="37" ref="I143:N143">SUM(I144:I146)</f>
        <v>505000</v>
      </c>
      <c r="J143" s="1">
        <f t="shared" si="37"/>
        <v>1000000</v>
      </c>
      <c r="K143" s="1">
        <f t="shared" si="37"/>
        <v>1305000</v>
      </c>
      <c r="L143" s="1">
        <f t="shared" si="37"/>
        <v>960000</v>
      </c>
      <c r="M143" s="1">
        <f t="shared" si="37"/>
        <v>1035000</v>
      </c>
      <c r="N143" s="1">
        <f t="shared" si="37"/>
        <v>1010000</v>
      </c>
    </row>
    <row r="144" spans="1:14" ht="22.5" customHeight="1">
      <c r="A144" s="47"/>
      <c r="B144" s="44"/>
      <c r="C144" s="44"/>
      <c r="D144" s="57"/>
      <c r="E144" s="38"/>
      <c r="F144" s="44"/>
      <c r="G144" s="44"/>
      <c r="H144" s="3" t="s">
        <v>16</v>
      </c>
      <c r="I144" s="1">
        <f aca="true" t="shared" si="38" ref="I144:N146">I148+I152+I156+I160+I164+I168+I172+I176+I180</f>
        <v>505000</v>
      </c>
      <c r="J144" s="1">
        <f t="shared" si="38"/>
        <v>1000000</v>
      </c>
      <c r="K144" s="1">
        <f t="shared" si="38"/>
        <v>1305000</v>
      </c>
      <c r="L144" s="1">
        <f t="shared" si="38"/>
        <v>960000</v>
      </c>
      <c r="M144" s="1">
        <f t="shared" si="38"/>
        <v>1035000</v>
      </c>
      <c r="N144" s="1">
        <f t="shared" si="38"/>
        <v>1010000</v>
      </c>
    </row>
    <row r="145" spans="1:14" ht="22.5">
      <c r="A145" s="47"/>
      <c r="B145" s="44"/>
      <c r="C145" s="44"/>
      <c r="D145" s="57"/>
      <c r="E145" s="38"/>
      <c r="F145" s="44"/>
      <c r="G145" s="44"/>
      <c r="H145" s="5" t="s">
        <v>17</v>
      </c>
      <c r="I145" s="1">
        <f t="shared" si="38"/>
        <v>0</v>
      </c>
      <c r="J145" s="1">
        <f t="shared" si="38"/>
        <v>0</v>
      </c>
      <c r="K145" s="1">
        <f t="shared" si="38"/>
        <v>0</v>
      </c>
      <c r="L145" s="1">
        <f t="shared" si="38"/>
        <v>0</v>
      </c>
      <c r="M145" s="1">
        <f t="shared" si="38"/>
        <v>0</v>
      </c>
      <c r="N145" s="1">
        <f t="shared" si="38"/>
        <v>0</v>
      </c>
    </row>
    <row r="146" spans="1:14" ht="12.75">
      <c r="A146" s="48"/>
      <c r="B146" s="45"/>
      <c r="C146" s="45"/>
      <c r="D146" s="30"/>
      <c r="E146" s="39"/>
      <c r="F146" s="45"/>
      <c r="G146" s="45"/>
      <c r="H146" s="3" t="s">
        <v>18</v>
      </c>
      <c r="I146" s="1">
        <f t="shared" si="38"/>
        <v>0</v>
      </c>
      <c r="J146" s="1">
        <f t="shared" si="38"/>
        <v>0</v>
      </c>
      <c r="K146" s="1">
        <f t="shared" si="38"/>
        <v>0</v>
      </c>
      <c r="L146" s="1">
        <f t="shared" si="38"/>
        <v>0</v>
      </c>
      <c r="M146" s="1">
        <f t="shared" si="38"/>
        <v>0</v>
      </c>
      <c r="N146" s="1">
        <f t="shared" si="38"/>
        <v>0</v>
      </c>
    </row>
    <row r="147" spans="1:14" ht="12.75">
      <c r="A147" s="46"/>
      <c r="B147" s="49"/>
      <c r="C147" s="49"/>
      <c r="D147" s="50" t="s">
        <v>51</v>
      </c>
      <c r="E147" s="37" t="s">
        <v>87</v>
      </c>
      <c r="F147" s="49" t="s">
        <v>99</v>
      </c>
      <c r="G147" s="43">
        <f>SUM(I147:N147)</f>
        <v>470000</v>
      </c>
      <c r="H147" s="4" t="s">
        <v>15</v>
      </c>
      <c r="I147" s="1">
        <f aca="true" t="shared" si="39" ref="I147:N147">SUM(I148:I150)</f>
        <v>50000</v>
      </c>
      <c r="J147" s="1">
        <f t="shared" si="39"/>
        <v>0</v>
      </c>
      <c r="K147" s="1">
        <f t="shared" si="39"/>
        <v>0</v>
      </c>
      <c r="L147" s="1">
        <f t="shared" si="39"/>
        <v>0</v>
      </c>
      <c r="M147" s="1">
        <f t="shared" si="39"/>
        <v>0</v>
      </c>
      <c r="N147" s="1">
        <f t="shared" si="39"/>
        <v>420000</v>
      </c>
    </row>
    <row r="148" spans="1:14" ht="12.75">
      <c r="A148" s="47"/>
      <c r="B148" s="44"/>
      <c r="C148" s="44"/>
      <c r="D148" s="51"/>
      <c r="E148" s="38"/>
      <c r="F148" s="44"/>
      <c r="G148" s="44"/>
      <c r="H148" s="3" t="s">
        <v>16</v>
      </c>
      <c r="I148" s="1">
        <f>30000+20000</f>
        <v>50000</v>
      </c>
      <c r="J148" s="1"/>
      <c r="K148" s="1"/>
      <c r="L148" s="1"/>
      <c r="M148" s="1"/>
      <c r="N148" s="1">
        <v>420000</v>
      </c>
    </row>
    <row r="149" spans="1:14" ht="22.5">
      <c r="A149" s="47"/>
      <c r="B149" s="44"/>
      <c r="C149" s="44"/>
      <c r="D149" s="51"/>
      <c r="E149" s="38"/>
      <c r="F149" s="44"/>
      <c r="G149" s="44"/>
      <c r="H149" s="5" t="s">
        <v>17</v>
      </c>
      <c r="I149" s="1"/>
      <c r="J149" s="1"/>
      <c r="K149" s="1"/>
      <c r="L149" s="1"/>
      <c r="M149" s="1"/>
      <c r="N149" s="1"/>
    </row>
    <row r="150" spans="1:14" ht="12.75">
      <c r="A150" s="48"/>
      <c r="B150" s="45"/>
      <c r="C150" s="45"/>
      <c r="D150" s="52"/>
      <c r="E150" s="39"/>
      <c r="F150" s="45"/>
      <c r="G150" s="45"/>
      <c r="H150" s="3" t="s">
        <v>18</v>
      </c>
      <c r="I150" s="1"/>
      <c r="J150" s="1"/>
      <c r="K150" s="1"/>
      <c r="L150" s="1"/>
      <c r="M150" s="1"/>
      <c r="N150" s="1"/>
    </row>
    <row r="151" spans="1:14" ht="12.75">
      <c r="A151" s="46"/>
      <c r="B151" s="49"/>
      <c r="C151" s="49"/>
      <c r="D151" s="50" t="s">
        <v>52</v>
      </c>
      <c r="E151" s="37" t="s">
        <v>87</v>
      </c>
      <c r="F151" s="49" t="s">
        <v>92</v>
      </c>
      <c r="G151" s="43">
        <f>SUM(I151:N151)</f>
        <v>720000</v>
      </c>
      <c r="H151" s="4" t="s">
        <v>15</v>
      </c>
      <c r="I151" s="1">
        <f aca="true" t="shared" si="40" ref="I151:N151">SUM(I152:I154)</f>
        <v>70000</v>
      </c>
      <c r="J151" s="1">
        <f t="shared" si="40"/>
        <v>0</v>
      </c>
      <c r="K151" s="1">
        <f t="shared" si="40"/>
        <v>650000</v>
      </c>
      <c r="L151" s="1">
        <f t="shared" si="40"/>
        <v>0</v>
      </c>
      <c r="M151" s="1">
        <f t="shared" si="40"/>
        <v>0</v>
      </c>
      <c r="N151" s="1">
        <f t="shared" si="40"/>
        <v>0</v>
      </c>
    </row>
    <row r="152" spans="1:14" ht="12.75">
      <c r="A152" s="47"/>
      <c r="B152" s="44"/>
      <c r="C152" s="44"/>
      <c r="D152" s="51"/>
      <c r="E152" s="38"/>
      <c r="F152" s="44"/>
      <c r="G152" s="44"/>
      <c r="H152" s="3" t="s">
        <v>16</v>
      </c>
      <c r="I152" s="1">
        <f>50000+20000</f>
        <v>70000</v>
      </c>
      <c r="J152" s="1"/>
      <c r="K152" s="1">
        <v>650000</v>
      </c>
      <c r="L152" s="1"/>
      <c r="M152" s="1"/>
      <c r="N152" s="1"/>
    </row>
    <row r="153" spans="1:14" ht="22.5">
      <c r="A153" s="47"/>
      <c r="B153" s="44"/>
      <c r="C153" s="44"/>
      <c r="D153" s="51"/>
      <c r="E153" s="38"/>
      <c r="F153" s="44"/>
      <c r="G153" s="44"/>
      <c r="H153" s="5" t="s">
        <v>17</v>
      </c>
      <c r="I153" s="1"/>
      <c r="J153" s="1"/>
      <c r="K153" s="1"/>
      <c r="L153" s="1"/>
      <c r="M153" s="1"/>
      <c r="N153" s="1"/>
    </row>
    <row r="154" spans="1:14" ht="12.75">
      <c r="A154" s="48"/>
      <c r="B154" s="45"/>
      <c r="C154" s="45"/>
      <c r="D154" s="52"/>
      <c r="E154" s="39"/>
      <c r="F154" s="45"/>
      <c r="G154" s="45"/>
      <c r="H154" s="3" t="s">
        <v>18</v>
      </c>
      <c r="I154" s="1"/>
      <c r="J154" s="1"/>
      <c r="K154" s="1"/>
      <c r="L154" s="1"/>
      <c r="M154" s="1"/>
      <c r="N154" s="1"/>
    </row>
    <row r="155" spans="1:14" ht="12.75">
      <c r="A155" s="46"/>
      <c r="B155" s="49"/>
      <c r="C155" s="49"/>
      <c r="D155" s="50" t="s">
        <v>53</v>
      </c>
      <c r="E155" s="37" t="s">
        <v>87</v>
      </c>
      <c r="F155" s="49" t="s">
        <v>93</v>
      </c>
      <c r="G155" s="43">
        <f>SUM(I155:N155)</f>
        <v>650000</v>
      </c>
      <c r="H155" s="4" t="s">
        <v>15</v>
      </c>
      <c r="I155" s="1">
        <f aca="true" t="shared" si="41" ref="I155:N155">SUM(I156:I158)</f>
        <v>60000</v>
      </c>
      <c r="J155" s="1">
        <f t="shared" si="41"/>
        <v>590000</v>
      </c>
      <c r="K155" s="1">
        <f t="shared" si="41"/>
        <v>0</v>
      </c>
      <c r="L155" s="1">
        <f t="shared" si="41"/>
        <v>0</v>
      </c>
      <c r="M155" s="1">
        <f t="shared" si="41"/>
        <v>0</v>
      </c>
      <c r="N155" s="1">
        <f t="shared" si="41"/>
        <v>0</v>
      </c>
    </row>
    <row r="156" spans="1:14" ht="12.75">
      <c r="A156" s="47"/>
      <c r="B156" s="44"/>
      <c r="C156" s="44"/>
      <c r="D156" s="51"/>
      <c r="E156" s="38"/>
      <c r="F156" s="44"/>
      <c r="G156" s="44"/>
      <c r="H156" s="3" t="s">
        <v>16</v>
      </c>
      <c r="I156" s="1">
        <f>40000+20000</f>
        <v>60000</v>
      </c>
      <c r="J156" s="1">
        <v>590000</v>
      </c>
      <c r="K156" s="1"/>
      <c r="L156" s="1"/>
      <c r="M156" s="1"/>
      <c r="N156" s="1"/>
    </row>
    <row r="157" spans="1:14" ht="22.5">
      <c r="A157" s="47"/>
      <c r="B157" s="44"/>
      <c r="C157" s="44"/>
      <c r="D157" s="51"/>
      <c r="E157" s="38"/>
      <c r="F157" s="44"/>
      <c r="G157" s="44"/>
      <c r="H157" s="5" t="s">
        <v>17</v>
      </c>
      <c r="I157" s="1"/>
      <c r="J157" s="1"/>
      <c r="K157" s="1"/>
      <c r="L157" s="1"/>
      <c r="M157" s="1"/>
      <c r="N157" s="1"/>
    </row>
    <row r="158" spans="1:14" ht="12.75">
      <c r="A158" s="48"/>
      <c r="B158" s="45"/>
      <c r="C158" s="45"/>
      <c r="D158" s="52"/>
      <c r="E158" s="39"/>
      <c r="F158" s="45"/>
      <c r="G158" s="45"/>
      <c r="H158" s="3" t="s">
        <v>18</v>
      </c>
      <c r="I158" s="1"/>
      <c r="J158" s="1"/>
      <c r="K158" s="1"/>
      <c r="L158" s="1"/>
      <c r="M158" s="1"/>
      <c r="N158" s="1"/>
    </row>
    <row r="159" spans="1:14" ht="12.75">
      <c r="A159" s="46"/>
      <c r="B159" s="49"/>
      <c r="C159" s="49"/>
      <c r="D159" s="50" t="s">
        <v>54</v>
      </c>
      <c r="E159" s="37" t="s">
        <v>87</v>
      </c>
      <c r="F159" s="49" t="s">
        <v>99</v>
      </c>
      <c r="G159" s="43">
        <f>SUM(I159:N159)</f>
        <v>680000</v>
      </c>
      <c r="H159" s="4" t="s">
        <v>15</v>
      </c>
      <c r="I159" s="1">
        <f aca="true" t="shared" si="42" ref="I159:N159">SUM(I160:I162)</f>
        <v>60000</v>
      </c>
      <c r="J159" s="1">
        <f t="shared" si="42"/>
        <v>0</v>
      </c>
      <c r="K159" s="1">
        <f t="shared" si="42"/>
        <v>0</v>
      </c>
      <c r="L159" s="1">
        <f t="shared" si="42"/>
        <v>0</v>
      </c>
      <c r="M159" s="1">
        <f t="shared" si="42"/>
        <v>30000</v>
      </c>
      <c r="N159" s="1">
        <f t="shared" si="42"/>
        <v>590000</v>
      </c>
    </row>
    <row r="160" spans="1:14" ht="12.75">
      <c r="A160" s="47"/>
      <c r="B160" s="44"/>
      <c r="C160" s="44"/>
      <c r="D160" s="51"/>
      <c r="E160" s="38"/>
      <c r="F160" s="44"/>
      <c r="G160" s="44"/>
      <c r="H160" s="3" t="s">
        <v>16</v>
      </c>
      <c r="I160" s="1">
        <f>40000+20000</f>
        <v>60000</v>
      </c>
      <c r="J160" s="1"/>
      <c r="K160" s="1"/>
      <c r="L160" s="1"/>
      <c r="M160" s="1">
        <v>30000</v>
      </c>
      <c r="N160" s="1">
        <v>590000</v>
      </c>
    </row>
    <row r="161" spans="1:14" ht="22.5">
      <c r="A161" s="47"/>
      <c r="B161" s="44"/>
      <c r="C161" s="44"/>
      <c r="D161" s="51"/>
      <c r="E161" s="38"/>
      <c r="F161" s="44"/>
      <c r="G161" s="44"/>
      <c r="H161" s="5" t="s">
        <v>17</v>
      </c>
      <c r="I161" s="1"/>
      <c r="J161" s="1"/>
      <c r="K161" s="1"/>
      <c r="L161" s="1"/>
      <c r="M161" s="1"/>
      <c r="N161" s="1"/>
    </row>
    <row r="162" spans="1:14" ht="12.75">
      <c r="A162" s="48"/>
      <c r="B162" s="45"/>
      <c r="C162" s="45"/>
      <c r="D162" s="52"/>
      <c r="E162" s="39"/>
      <c r="F162" s="45"/>
      <c r="G162" s="45"/>
      <c r="H162" s="3" t="s">
        <v>18</v>
      </c>
      <c r="I162" s="1"/>
      <c r="J162" s="1"/>
      <c r="K162" s="1"/>
      <c r="L162" s="1"/>
      <c r="M162" s="1"/>
      <c r="N162" s="1"/>
    </row>
    <row r="163" spans="1:14" ht="12.75">
      <c r="A163" s="46"/>
      <c r="B163" s="49"/>
      <c r="C163" s="49"/>
      <c r="D163" s="50" t="s">
        <v>55</v>
      </c>
      <c r="E163" s="37" t="s">
        <v>87</v>
      </c>
      <c r="F163" s="49" t="s">
        <v>100</v>
      </c>
      <c r="G163" s="43">
        <f>SUM(I163:N163)</f>
        <v>270000</v>
      </c>
      <c r="H163" s="4" t="s">
        <v>15</v>
      </c>
      <c r="I163" s="1">
        <f aca="true" t="shared" si="43" ref="I163:N163">SUM(I164:I166)</f>
        <v>45000</v>
      </c>
      <c r="J163" s="1">
        <f t="shared" si="43"/>
        <v>0</v>
      </c>
      <c r="K163" s="1">
        <f t="shared" si="43"/>
        <v>0</v>
      </c>
      <c r="L163" s="1">
        <f t="shared" si="43"/>
        <v>20000</v>
      </c>
      <c r="M163" s="1">
        <f t="shared" si="43"/>
        <v>205000</v>
      </c>
      <c r="N163" s="1">
        <f t="shared" si="43"/>
        <v>0</v>
      </c>
    </row>
    <row r="164" spans="1:14" ht="12.75">
      <c r="A164" s="47"/>
      <c r="B164" s="44"/>
      <c r="C164" s="44"/>
      <c r="D164" s="51"/>
      <c r="E164" s="38"/>
      <c r="F164" s="44"/>
      <c r="G164" s="44"/>
      <c r="H164" s="3" t="s">
        <v>16</v>
      </c>
      <c r="I164" s="1">
        <f>25000+20000</f>
        <v>45000</v>
      </c>
      <c r="J164" s="1"/>
      <c r="K164" s="1"/>
      <c r="L164" s="1">
        <v>20000</v>
      </c>
      <c r="M164" s="1">
        <v>205000</v>
      </c>
      <c r="N164" s="1"/>
    </row>
    <row r="165" spans="1:14" ht="22.5">
      <c r="A165" s="47"/>
      <c r="B165" s="44"/>
      <c r="C165" s="44"/>
      <c r="D165" s="51"/>
      <c r="E165" s="38"/>
      <c r="F165" s="44"/>
      <c r="G165" s="44"/>
      <c r="H165" s="5" t="s">
        <v>17</v>
      </c>
      <c r="I165" s="1"/>
      <c r="J165" s="1"/>
      <c r="K165" s="1"/>
      <c r="L165" s="1"/>
      <c r="M165" s="1"/>
      <c r="N165" s="1"/>
    </row>
    <row r="166" spans="1:14" ht="12.75">
      <c r="A166" s="48"/>
      <c r="B166" s="45"/>
      <c r="C166" s="45"/>
      <c r="D166" s="52"/>
      <c r="E166" s="39"/>
      <c r="F166" s="45"/>
      <c r="G166" s="45"/>
      <c r="H166" s="3" t="s">
        <v>18</v>
      </c>
      <c r="I166" s="1"/>
      <c r="J166" s="1"/>
      <c r="K166" s="1"/>
      <c r="L166" s="1"/>
      <c r="M166" s="1"/>
      <c r="N166" s="1"/>
    </row>
    <row r="167" spans="1:14" ht="12.75">
      <c r="A167" s="46"/>
      <c r="B167" s="49"/>
      <c r="C167" s="49"/>
      <c r="D167" s="50" t="s">
        <v>56</v>
      </c>
      <c r="E167" s="37" t="s">
        <v>87</v>
      </c>
      <c r="F167" s="49" t="s">
        <v>100</v>
      </c>
      <c r="G167" s="43">
        <f>SUM(I167:N167)</f>
        <v>1435000</v>
      </c>
      <c r="H167" s="4" t="s">
        <v>15</v>
      </c>
      <c r="I167" s="1">
        <f aca="true" t="shared" si="44" ref="I167:N167">SUM(I168:I170)</f>
        <v>70000</v>
      </c>
      <c r="J167" s="1">
        <f t="shared" si="44"/>
        <v>0</v>
      </c>
      <c r="K167" s="1">
        <f t="shared" si="44"/>
        <v>0</v>
      </c>
      <c r="L167" s="1">
        <f t="shared" si="44"/>
        <v>915000</v>
      </c>
      <c r="M167" s="1">
        <f t="shared" si="44"/>
        <v>450000</v>
      </c>
      <c r="N167" s="1">
        <f t="shared" si="44"/>
        <v>0</v>
      </c>
    </row>
    <row r="168" spans="1:14" ht="12.75">
      <c r="A168" s="47"/>
      <c r="B168" s="44"/>
      <c r="C168" s="44"/>
      <c r="D168" s="51"/>
      <c r="E168" s="38"/>
      <c r="F168" s="44"/>
      <c r="G168" s="44"/>
      <c r="H168" s="3" t="s">
        <v>16</v>
      </c>
      <c r="I168" s="1">
        <f>50000+20000</f>
        <v>70000</v>
      </c>
      <c r="J168" s="1"/>
      <c r="K168" s="1"/>
      <c r="L168" s="1">
        <v>915000</v>
      </c>
      <c r="M168" s="1">
        <v>450000</v>
      </c>
      <c r="N168" s="1"/>
    </row>
    <row r="169" spans="1:14" ht="22.5">
      <c r="A169" s="47"/>
      <c r="B169" s="44"/>
      <c r="C169" s="44"/>
      <c r="D169" s="51"/>
      <c r="E169" s="38"/>
      <c r="F169" s="44"/>
      <c r="G169" s="44"/>
      <c r="H169" s="5" t="s">
        <v>17</v>
      </c>
      <c r="I169" s="1"/>
      <c r="J169" s="1"/>
      <c r="K169" s="1"/>
      <c r="L169" s="1"/>
      <c r="M169" s="1"/>
      <c r="N169" s="1"/>
    </row>
    <row r="170" spans="1:14" ht="12.75">
      <c r="A170" s="48"/>
      <c r="B170" s="45"/>
      <c r="C170" s="45"/>
      <c r="D170" s="52"/>
      <c r="E170" s="39"/>
      <c r="F170" s="45"/>
      <c r="G170" s="45"/>
      <c r="H170" s="3" t="s">
        <v>18</v>
      </c>
      <c r="I170" s="1"/>
      <c r="J170" s="1"/>
      <c r="K170" s="1"/>
      <c r="L170" s="1"/>
      <c r="M170" s="1"/>
      <c r="N170" s="1"/>
    </row>
    <row r="171" spans="1:14" ht="12.75">
      <c r="A171" s="46"/>
      <c r="B171" s="49"/>
      <c r="C171" s="49"/>
      <c r="D171" s="50" t="s">
        <v>57</v>
      </c>
      <c r="E171" s="37" t="s">
        <v>87</v>
      </c>
      <c r="F171" s="49" t="s">
        <v>92</v>
      </c>
      <c r="G171" s="43">
        <f>SUM(I171:N171)</f>
        <v>750000</v>
      </c>
      <c r="H171" s="4" t="s">
        <v>15</v>
      </c>
      <c r="I171" s="1">
        <f aca="true" t="shared" si="45" ref="I171:N171">SUM(I172:I174)</f>
        <v>60000</v>
      </c>
      <c r="J171" s="1">
        <f t="shared" si="45"/>
        <v>35000</v>
      </c>
      <c r="K171" s="1">
        <f t="shared" si="45"/>
        <v>655000</v>
      </c>
      <c r="L171" s="1">
        <f t="shared" si="45"/>
        <v>0</v>
      </c>
      <c r="M171" s="1">
        <f t="shared" si="45"/>
        <v>0</v>
      </c>
      <c r="N171" s="1">
        <f t="shared" si="45"/>
        <v>0</v>
      </c>
    </row>
    <row r="172" spans="1:14" ht="12.75">
      <c r="A172" s="47"/>
      <c r="B172" s="44"/>
      <c r="C172" s="44"/>
      <c r="D172" s="51"/>
      <c r="E172" s="38"/>
      <c r="F172" s="44"/>
      <c r="G172" s="44"/>
      <c r="H172" s="3" t="s">
        <v>16</v>
      </c>
      <c r="I172" s="1">
        <f>40000+20000</f>
        <v>60000</v>
      </c>
      <c r="J172" s="1">
        <v>35000</v>
      </c>
      <c r="K172" s="1">
        <v>655000</v>
      </c>
      <c r="L172" s="1"/>
      <c r="M172" s="1"/>
      <c r="N172" s="1"/>
    </row>
    <row r="173" spans="1:14" ht="22.5">
      <c r="A173" s="47"/>
      <c r="B173" s="44"/>
      <c r="C173" s="44"/>
      <c r="D173" s="51"/>
      <c r="E173" s="38"/>
      <c r="F173" s="44"/>
      <c r="G173" s="44"/>
      <c r="H173" s="5" t="s">
        <v>17</v>
      </c>
      <c r="I173" s="1"/>
      <c r="J173" s="1"/>
      <c r="K173" s="1"/>
      <c r="L173" s="1"/>
      <c r="M173" s="1"/>
      <c r="N173" s="1"/>
    </row>
    <row r="174" spans="1:14" ht="12.75">
      <c r="A174" s="48"/>
      <c r="B174" s="45"/>
      <c r="C174" s="45"/>
      <c r="D174" s="52"/>
      <c r="E174" s="39"/>
      <c r="F174" s="45"/>
      <c r="G174" s="45"/>
      <c r="H174" s="3" t="s">
        <v>18</v>
      </c>
      <c r="I174" s="1"/>
      <c r="J174" s="1"/>
      <c r="K174" s="1"/>
      <c r="L174" s="1"/>
      <c r="M174" s="1"/>
      <c r="N174" s="1"/>
    </row>
    <row r="175" spans="1:14" ht="12.75">
      <c r="A175" s="46"/>
      <c r="B175" s="49"/>
      <c r="C175" s="49"/>
      <c r="D175" s="50" t="s">
        <v>58</v>
      </c>
      <c r="E175" s="37" t="s">
        <v>87</v>
      </c>
      <c r="F175" s="40" t="s">
        <v>93</v>
      </c>
      <c r="G175" s="43">
        <f>SUM(I175:N175)</f>
        <v>420000</v>
      </c>
      <c r="H175" s="4" t="s">
        <v>15</v>
      </c>
      <c r="I175" s="1">
        <f aca="true" t="shared" si="46" ref="I175:N175">SUM(I176:I178)</f>
        <v>45000</v>
      </c>
      <c r="J175" s="1">
        <f t="shared" si="46"/>
        <v>375000</v>
      </c>
      <c r="K175" s="1">
        <f t="shared" si="46"/>
        <v>0</v>
      </c>
      <c r="L175" s="1">
        <f t="shared" si="46"/>
        <v>0</v>
      </c>
      <c r="M175" s="1">
        <f t="shared" si="46"/>
        <v>0</v>
      </c>
      <c r="N175" s="1">
        <f t="shared" si="46"/>
        <v>0</v>
      </c>
    </row>
    <row r="176" spans="1:14" ht="12.75">
      <c r="A176" s="47"/>
      <c r="B176" s="44"/>
      <c r="C176" s="44"/>
      <c r="D176" s="51"/>
      <c r="E176" s="38"/>
      <c r="F176" s="41"/>
      <c r="G176" s="44"/>
      <c r="H176" s="3" t="s">
        <v>16</v>
      </c>
      <c r="I176" s="1">
        <f>25000+20000</f>
        <v>45000</v>
      </c>
      <c r="J176" s="1">
        <v>375000</v>
      </c>
      <c r="K176" s="1"/>
      <c r="L176" s="1"/>
      <c r="M176" s="1"/>
      <c r="N176" s="1"/>
    </row>
    <row r="177" spans="1:14" ht="22.5">
      <c r="A177" s="47"/>
      <c r="B177" s="44"/>
      <c r="C177" s="44"/>
      <c r="D177" s="51"/>
      <c r="E177" s="38"/>
      <c r="F177" s="41"/>
      <c r="G177" s="44"/>
      <c r="H177" s="5" t="s">
        <v>17</v>
      </c>
      <c r="I177" s="1"/>
      <c r="J177" s="1"/>
      <c r="K177" s="1"/>
      <c r="L177" s="1"/>
      <c r="M177" s="1"/>
      <c r="N177" s="1"/>
    </row>
    <row r="178" spans="1:14" ht="12.75">
      <c r="A178" s="48"/>
      <c r="B178" s="45"/>
      <c r="C178" s="45"/>
      <c r="D178" s="52"/>
      <c r="E178" s="39"/>
      <c r="F178" s="42"/>
      <c r="G178" s="45"/>
      <c r="H178" s="3" t="s">
        <v>18</v>
      </c>
      <c r="I178" s="1"/>
      <c r="J178" s="1"/>
      <c r="K178" s="1"/>
      <c r="L178" s="1"/>
      <c r="M178" s="1"/>
      <c r="N178" s="1"/>
    </row>
    <row r="179" spans="1:14" ht="12.75">
      <c r="A179" s="46"/>
      <c r="B179" s="49"/>
      <c r="C179" s="49"/>
      <c r="D179" s="50" t="s">
        <v>59</v>
      </c>
      <c r="E179" s="37" t="s">
        <v>87</v>
      </c>
      <c r="F179" s="40" t="s">
        <v>100</v>
      </c>
      <c r="G179" s="43">
        <f>SUM(I179:N179)</f>
        <v>420000</v>
      </c>
      <c r="H179" s="4" t="s">
        <v>15</v>
      </c>
      <c r="I179" s="1">
        <f aca="true" t="shared" si="47" ref="I179:N179">SUM(I180:I182)</f>
        <v>45000</v>
      </c>
      <c r="J179" s="1">
        <f t="shared" si="47"/>
        <v>0</v>
      </c>
      <c r="K179" s="1">
        <f t="shared" si="47"/>
        <v>0</v>
      </c>
      <c r="L179" s="1">
        <f t="shared" si="47"/>
        <v>25000</v>
      </c>
      <c r="M179" s="1">
        <f t="shared" si="47"/>
        <v>350000</v>
      </c>
      <c r="N179" s="1">
        <f t="shared" si="47"/>
        <v>0</v>
      </c>
    </row>
    <row r="180" spans="1:14" ht="12.75">
      <c r="A180" s="47"/>
      <c r="B180" s="44"/>
      <c r="C180" s="44"/>
      <c r="D180" s="51"/>
      <c r="E180" s="38"/>
      <c r="F180" s="41"/>
      <c r="G180" s="44"/>
      <c r="H180" s="3" t="s">
        <v>16</v>
      </c>
      <c r="I180" s="1">
        <f>25000+20000</f>
        <v>45000</v>
      </c>
      <c r="J180" s="1"/>
      <c r="K180" s="1"/>
      <c r="L180" s="1">
        <v>25000</v>
      </c>
      <c r="M180" s="1">
        <v>350000</v>
      </c>
      <c r="N180" s="1"/>
    </row>
    <row r="181" spans="1:14" ht="22.5">
      <c r="A181" s="47"/>
      <c r="B181" s="44"/>
      <c r="C181" s="44"/>
      <c r="D181" s="51"/>
      <c r="E181" s="38"/>
      <c r="F181" s="41"/>
      <c r="G181" s="44"/>
      <c r="H181" s="5" t="s">
        <v>17</v>
      </c>
      <c r="I181" s="1"/>
      <c r="J181" s="1"/>
      <c r="K181" s="1"/>
      <c r="L181" s="1"/>
      <c r="M181" s="1"/>
      <c r="N181" s="1"/>
    </row>
    <row r="182" spans="1:14" ht="12.75">
      <c r="A182" s="48"/>
      <c r="B182" s="45"/>
      <c r="C182" s="45"/>
      <c r="D182" s="52"/>
      <c r="E182" s="39"/>
      <c r="F182" s="42"/>
      <c r="G182" s="45"/>
      <c r="H182" s="3" t="s">
        <v>18</v>
      </c>
      <c r="I182" s="1"/>
      <c r="J182" s="1"/>
      <c r="K182" s="1"/>
      <c r="L182" s="1"/>
      <c r="M182" s="1"/>
      <c r="N182" s="1"/>
    </row>
    <row r="183" spans="1:14" ht="12.75">
      <c r="A183" s="46">
        <v>15</v>
      </c>
      <c r="B183" s="49">
        <v>600</v>
      </c>
      <c r="C183" s="49">
        <v>60014</v>
      </c>
      <c r="D183" s="56" t="s">
        <v>86</v>
      </c>
      <c r="E183" s="37" t="s">
        <v>87</v>
      </c>
      <c r="F183" s="49">
        <v>2008</v>
      </c>
      <c r="G183" s="43">
        <f>SUM(I183:N183)</f>
        <v>1000000</v>
      </c>
      <c r="H183" s="4" t="s">
        <v>15</v>
      </c>
      <c r="I183" s="1">
        <f aca="true" t="shared" si="48" ref="I183:N183">SUM(I184:I186)</f>
        <v>1000000</v>
      </c>
      <c r="J183" s="1">
        <f t="shared" si="48"/>
        <v>0</v>
      </c>
      <c r="K183" s="1">
        <f t="shared" si="48"/>
        <v>0</v>
      </c>
      <c r="L183" s="1">
        <f t="shared" si="48"/>
        <v>0</v>
      </c>
      <c r="M183" s="1">
        <f t="shared" si="48"/>
        <v>0</v>
      </c>
      <c r="N183" s="1">
        <f t="shared" si="48"/>
        <v>0</v>
      </c>
    </row>
    <row r="184" spans="1:14" ht="12.75">
      <c r="A184" s="47"/>
      <c r="B184" s="44"/>
      <c r="C184" s="44"/>
      <c r="D184" s="57"/>
      <c r="E184" s="38"/>
      <c r="F184" s="44"/>
      <c r="G184" s="44"/>
      <c r="H184" s="3" t="s">
        <v>16</v>
      </c>
      <c r="I184" s="1">
        <v>1000000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</row>
    <row r="185" spans="1:14" ht="22.5">
      <c r="A185" s="47"/>
      <c r="B185" s="44"/>
      <c r="C185" s="44"/>
      <c r="D185" s="57"/>
      <c r="E185" s="38"/>
      <c r="F185" s="44"/>
      <c r="G185" s="44"/>
      <c r="H185" s="5" t="s">
        <v>17</v>
      </c>
      <c r="I185" s="1"/>
      <c r="J185" s="1"/>
      <c r="K185" s="1"/>
      <c r="L185" s="1"/>
      <c r="M185" s="1"/>
      <c r="N185" s="1"/>
    </row>
    <row r="186" spans="1:14" ht="12.75">
      <c r="A186" s="48"/>
      <c r="B186" s="45"/>
      <c r="C186" s="45"/>
      <c r="D186" s="30"/>
      <c r="E186" s="39"/>
      <c r="F186" s="45"/>
      <c r="G186" s="45"/>
      <c r="H186" s="3" t="s">
        <v>18</v>
      </c>
      <c r="I186" s="1"/>
      <c r="J186" s="1"/>
      <c r="K186" s="1"/>
      <c r="L186" s="1"/>
      <c r="M186" s="1"/>
      <c r="N186" s="1"/>
    </row>
    <row r="187" spans="1:14" ht="12.75">
      <c r="A187" s="46">
        <v>16</v>
      </c>
      <c r="B187" s="49">
        <v>600</v>
      </c>
      <c r="C187" s="49">
        <v>60016</v>
      </c>
      <c r="D187" s="56" t="s">
        <v>90</v>
      </c>
      <c r="E187" s="37" t="s">
        <v>87</v>
      </c>
      <c r="F187" s="40">
        <v>2008</v>
      </c>
      <c r="G187" s="43">
        <f>SUM(I187:N187)</f>
        <v>0</v>
      </c>
      <c r="H187" s="4" t="s">
        <v>15</v>
      </c>
      <c r="I187" s="1">
        <f aca="true" t="shared" si="49" ref="I187:N187">SUM(I188:I190)</f>
        <v>0</v>
      </c>
      <c r="J187" s="1">
        <f t="shared" si="49"/>
        <v>0</v>
      </c>
      <c r="K187" s="1">
        <f t="shared" si="49"/>
        <v>0</v>
      </c>
      <c r="L187" s="1">
        <f t="shared" si="49"/>
        <v>0</v>
      </c>
      <c r="M187" s="1">
        <f t="shared" si="49"/>
        <v>0</v>
      </c>
      <c r="N187" s="1">
        <f t="shared" si="49"/>
        <v>0</v>
      </c>
    </row>
    <row r="188" spans="1:14" ht="12.75">
      <c r="A188" s="47"/>
      <c r="B188" s="44"/>
      <c r="C188" s="44"/>
      <c r="D188" s="57"/>
      <c r="E188" s="38"/>
      <c r="F188" s="41"/>
      <c r="G188" s="44"/>
      <c r="H188" s="3" t="s">
        <v>16</v>
      </c>
      <c r="I188" s="1">
        <f>150000-150000</f>
        <v>0</v>
      </c>
      <c r="J188" s="1"/>
      <c r="K188" s="1"/>
      <c r="L188" s="1"/>
      <c r="M188" s="1"/>
      <c r="N188" s="1"/>
    </row>
    <row r="189" spans="1:14" ht="22.5">
      <c r="A189" s="47"/>
      <c r="B189" s="44"/>
      <c r="C189" s="44"/>
      <c r="D189" s="57"/>
      <c r="E189" s="38"/>
      <c r="F189" s="41"/>
      <c r="G189" s="44"/>
      <c r="H189" s="5" t="s">
        <v>17</v>
      </c>
      <c r="I189" s="1"/>
      <c r="J189" s="1"/>
      <c r="K189" s="1"/>
      <c r="L189" s="1"/>
      <c r="M189" s="1"/>
      <c r="N189" s="1"/>
    </row>
    <row r="190" spans="1:14" ht="12.75">
      <c r="A190" s="48"/>
      <c r="B190" s="45"/>
      <c r="C190" s="45"/>
      <c r="D190" s="30"/>
      <c r="E190" s="39"/>
      <c r="F190" s="42"/>
      <c r="G190" s="45"/>
      <c r="H190" s="3" t="s">
        <v>18</v>
      </c>
      <c r="I190" s="1"/>
      <c r="J190" s="1"/>
      <c r="K190" s="1"/>
      <c r="L190" s="1"/>
      <c r="M190" s="1"/>
      <c r="N190" s="1"/>
    </row>
    <row r="191" spans="1:14" ht="12.75" customHeight="1">
      <c r="A191" s="46">
        <v>17</v>
      </c>
      <c r="B191" s="49">
        <v>600</v>
      </c>
      <c r="C191" s="49">
        <v>60016</v>
      </c>
      <c r="D191" s="31" t="s">
        <v>60</v>
      </c>
      <c r="E191" s="37" t="s">
        <v>87</v>
      </c>
      <c r="F191" s="40" t="s">
        <v>92</v>
      </c>
      <c r="G191" s="43">
        <f>SUM(I191:N191)</f>
        <v>1771000</v>
      </c>
      <c r="H191" s="4" t="s">
        <v>15</v>
      </c>
      <c r="I191" s="1">
        <f aca="true" t="shared" si="50" ref="I191:N191">SUM(I192:I194)</f>
        <v>791000</v>
      </c>
      <c r="J191" s="1">
        <f t="shared" si="50"/>
        <v>650000</v>
      </c>
      <c r="K191" s="1">
        <f t="shared" si="50"/>
        <v>330000</v>
      </c>
      <c r="L191" s="1">
        <f t="shared" si="50"/>
        <v>0</v>
      </c>
      <c r="M191" s="1">
        <f t="shared" si="50"/>
        <v>0</v>
      </c>
      <c r="N191" s="1">
        <f t="shared" si="50"/>
        <v>0</v>
      </c>
    </row>
    <row r="192" spans="1:14" ht="12.75" customHeight="1">
      <c r="A192" s="47"/>
      <c r="B192" s="44"/>
      <c r="C192" s="44"/>
      <c r="D192" s="32"/>
      <c r="E192" s="38"/>
      <c r="F192" s="41"/>
      <c r="G192" s="44"/>
      <c r="H192" s="3" t="s">
        <v>16</v>
      </c>
      <c r="I192" s="1">
        <f aca="true" t="shared" si="51" ref="I192:N194">I196+I200+I204</f>
        <v>791000</v>
      </c>
      <c r="J192" s="1">
        <f t="shared" si="51"/>
        <v>650000</v>
      </c>
      <c r="K192" s="1">
        <f t="shared" si="51"/>
        <v>330000</v>
      </c>
      <c r="L192" s="1">
        <f t="shared" si="51"/>
        <v>0</v>
      </c>
      <c r="M192" s="1">
        <f t="shared" si="51"/>
        <v>0</v>
      </c>
      <c r="N192" s="1">
        <f t="shared" si="51"/>
        <v>0</v>
      </c>
    </row>
    <row r="193" spans="1:14" ht="36" customHeight="1">
      <c r="A193" s="47"/>
      <c r="B193" s="44"/>
      <c r="C193" s="44"/>
      <c r="D193" s="32"/>
      <c r="E193" s="38"/>
      <c r="F193" s="41"/>
      <c r="G193" s="44"/>
      <c r="H193" s="5" t="s">
        <v>17</v>
      </c>
      <c r="I193" s="1">
        <f t="shared" si="51"/>
        <v>0</v>
      </c>
      <c r="J193" s="1">
        <f t="shared" si="51"/>
        <v>0</v>
      </c>
      <c r="K193" s="1">
        <f t="shared" si="51"/>
        <v>0</v>
      </c>
      <c r="L193" s="1">
        <f t="shared" si="51"/>
        <v>0</v>
      </c>
      <c r="M193" s="1">
        <f t="shared" si="51"/>
        <v>0</v>
      </c>
      <c r="N193" s="1">
        <f t="shared" si="51"/>
        <v>0</v>
      </c>
    </row>
    <row r="194" spans="1:14" ht="22.5" customHeight="1">
      <c r="A194" s="48"/>
      <c r="B194" s="45"/>
      <c r="C194" s="45"/>
      <c r="D194" s="33"/>
      <c r="E194" s="39"/>
      <c r="F194" s="42"/>
      <c r="G194" s="45"/>
      <c r="H194" s="3" t="s">
        <v>18</v>
      </c>
      <c r="I194" s="1">
        <f t="shared" si="51"/>
        <v>0</v>
      </c>
      <c r="J194" s="1">
        <f t="shared" si="51"/>
        <v>0</v>
      </c>
      <c r="K194" s="1">
        <f t="shared" si="51"/>
        <v>0</v>
      </c>
      <c r="L194" s="1">
        <f t="shared" si="51"/>
        <v>0</v>
      </c>
      <c r="M194" s="1">
        <f t="shared" si="51"/>
        <v>0</v>
      </c>
      <c r="N194" s="1">
        <f t="shared" si="51"/>
        <v>0</v>
      </c>
    </row>
    <row r="195" spans="1:14" ht="12.75">
      <c r="A195" s="46"/>
      <c r="B195" s="49"/>
      <c r="C195" s="49"/>
      <c r="D195" s="84" t="s">
        <v>61</v>
      </c>
      <c r="E195" s="37" t="s">
        <v>87</v>
      </c>
      <c r="F195" s="40" t="s">
        <v>93</v>
      </c>
      <c r="G195" s="43">
        <f>SUM(I195:N195)</f>
        <v>470000</v>
      </c>
      <c r="H195" s="4" t="s">
        <v>15</v>
      </c>
      <c r="I195" s="36">
        <f aca="true" t="shared" si="52" ref="I195:N195">SUM(I196:I198)</f>
        <v>320000</v>
      </c>
      <c r="J195" s="36">
        <f t="shared" si="52"/>
        <v>150000</v>
      </c>
      <c r="K195" s="1">
        <f t="shared" si="52"/>
        <v>0</v>
      </c>
      <c r="L195" s="1">
        <f t="shared" si="52"/>
        <v>0</v>
      </c>
      <c r="M195" s="1">
        <f t="shared" si="52"/>
        <v>0</v>
      </c>
      <c r="N195" s="1">
        <f t="shared" si="52"/>
        <v>0</v>
      </c>
    </row>
    <row r="196" spans="1:14" ht="12.75">
      <c r="A196" s="47"/>
      <c r="B196" s="44"/>
      <c r="C196" s="44"/>
      <c r="D196" s="85"/>
      <c r="E196" s="38"/>
      <c r="F196" s="41"/>
      <c r="G196" s="44"/>
      <c r="H196" s="3" t="s">
        <v>16</v>
      </c>
      <c r="I196" s="36">
        <f>461000-141000</f>
        <v>320000</v>
      </c>
      <c r="J196" s="36">
        <f>220000-70000</f>
        <v>150000</v>
      </c>
      <c r="K196" s="1"/>
      <c r="L196" s="1"/>
      <c r="M196" s="1"/>
      <c r="N196" s="1"/>
    </row>
    <row r="197" spans="1:14" ht="22.5">
      <c r="A197" s="47"/>
      <c r="B197" s="44"/>
      <c r="C197" s="44"/>
      <c r="D197" s="85"/>
      <c r="E197" s="38"/>
      <c r="F197" s="41"/>
      <c r="G197" s="44"/>
      <c r="H197" s="5" t="s">
        <v>17</v>
      </c>
      <c r="I197" s="36"/>
      <c r="J197" s="36"/>
      <c r="K197" s="1"/>
      <c r="L197" s="1"/>
      <c r="M197" s="1"/>
      <c r="N197" s="1"/>
    </row>
    <row r="198" spans="1:14" ht="12.75">
      <c r="A198" s="48"/>
      <c r="B198" s="45"/>
      <c r="C198" s="45"/>
      <c r="D198" s="86"/>
      <c r="E198" s="39"/>
      <c r="F198" s="42"/>
      <c r="G198" s="45"/>
      <c r="H198" s="3" t="s">
        <v>18</v>
      </c>
      <c r="I198" s="36"/>
      <c r="J198" s="36"/>
      <c r="K198" s="1"/>
      <c r="L198" s="1"/>
      <c r="M198" s="1"/>
      <c r="N198" s="1"/>
    </row>
    <row r="199" spans="1:14" ht="12.75">
      <c r="A199" s="46"/>
      <c r="B199" s="49"/>
      <c r="C199" s="49"/>
      <c r="D199" s="84" t="s">
        <v>62</v>
      </c>
      <c r="E199" s="37" t="s">
        <v>87</v>
      </c>
      <c r="F199" s="40">
        <v>2008</v>
      </c>
      <c r="G199" s="43">
        <f>SUM(I199:N199)</f>
        <v>971000</v>
      </c>
      <c r="H199" s="4" t="s">
        <v>15</v>
      </c>
      <c r="I199" s="36">
        <f aca="true" t="shared" si="53" ref="I199:N199">SUM(I200:I202)</f>
        <v>471000</v>
      </c>
      <c r="J199" s="36">
        <f t="shared" si="53"/>
        <v>500000</v>
      </c>
      <c r="K199" s="1">
        <f t="shared" si="53"/>
        <v>0</v>
      </c>
      <c r="L199" s="1">
        <f t="shared" si="53"/>
        <v>0</v>
      </c>
      <c r="M199" s="1">
        <f t="shared" si="53"/>
        <v>0</v>
      </c>
      <c r="N199" s="1">
        <f t="shared" si="53"/>
        <v>0</v>
      </c>
    </row>
    <row r="200" spans="1:14" ht="12.75">
      <c r="A200" s="47"/>
      <c r="B200" s="44"/>
      <c r="C200" s="44"/>
      <c r="D200" s="85"/>
      <c r="E200" s="38"/>
      <c r="F200" s="41"/>
      <c r="G200" s="44"/>
      <c r="H200" s="3" t="s">
        <v>16</v>
      </c>
      <c r="I200" s="36">
        <f>330000+141000</f>
        <v>471000</v>
      </c>
      <c r="J200" s="36">
        <f>920000-420000</f>
        <v>500000</v>
      </c>
      <c r="K200" s="1"/>
      <c r="L200" s="1"/>
      <c r="M200" s="1"/>
      <c r="N200" s="1"/>
    </row>
    <row r="201" spans="1:14" ht="22.5">
      <c r="A201" s="47"/>
      <c r="B201" s="44"/>
      <c r="C201" s="44"/>
      <c r="D201" s="85"/>
      <c r="E201" s="38"/>
      <c r="F201" s="41"/>
      <c r="G201" s="44"/>
      <c r="H201" s="5" t="s">
        <v>17</v>
      </c>
      <c r="I201" s="36"/>
      <c r="J201" s="36"/>
      <c r="K201" s="1"/>
      <c r="L201" s="1"/>
      <c r="M201" s="1"/>
      <c r="N201" s="1"/>
    </row>
    <row r="202" spans="1:14" ht="12.75">
      <c r="A202" s="48"/>
      <c r="B202" s="45"/>
      <c r="C202" s="45"/>
      <c r="D202" s="86"/>
      <c r="E202" s="39"/>
      <c r="F202" s="42"/>
      <c r="G202" s="45"/>
      <c r="H202" s="3" t="s">
        <v>18</v>
      </c>
      <c r="I202" s="36"/>
      <c r="J202" s="36"/>
      <c r="K202" s="1"/>
      <c r="L202" s="1"/>
      <c r="M202" s="1"/>
      <c r="N202" s="1"/>
    </row>
    <row r="203" spans="1:14" ht="12.75">
      <c r="A203" s="46"/>
      <c r="B203" s="49"/>
      <c r="C203" s="49"/>
      <c r="D203" s="70" t="s">
        <v>63</v>
      </c>
      <c r="E203" s="37" t="s">
        <v>87</v>
      </c>
      <c r="F203" s="40">
        <v>2010</v>
      </c>
      <c r="G203" s="43">
        <f>SUM(I203:N203)</f>
        <v>330000</v>
      </c>
      <c r="H203" s="4" t="s">
        <v>15</v>
      </c>
      <c r="I203" s="1">
        <f aca="true" t="shared" si="54" ref="I203:N203">SUM(I204:I206)</f>
        <v>0</v>
      </c>
      <c r="J203" s="1">
        <f t="shared" si="54"/>
        <v>0</v>
      </c>
      <c r="K203" s="1">
        <f t="shared" si="54"/>
        <v>330000</v>
      </c>
      <c r="L203" s="1">
        <f t="shared" si="54"/>
        <v>0</v>
      </c>
      <c r="M203" s="1">
        <f t="shared" si="54"/>
        <v>0</v>
      </c>
      <c r="N203" s="1">
        <f t="shared" si="54"/>
        <v>0</v>
      </c>
    </row>
    <row r="204" spans="1:14" ht="12.75">
      <c r="A204" s="47"/>
      <c r="B204" s="44"/>
      <c r="C204" s="44"/>
      <c r="D204" s="71"/>
      <c r="E204" s="38"/>
      <c r="F204" s="41"/>
      <c r="G204" s="44"/>
      <c r="H204" s="3" t="s">
        <v>16</v>
      </c>
      <c r="I204" s="1"/>
      <c r="J204" s="1"/>
      <c r="K204" s="1">
        <v>330000</v>
      </c>
      <c r="L204" s="1"/>
      <c r="M204" s="1"/>
      <c r="N204" s="1"/>
    </row>
    <row r="205" spans="1:14" ht="22.5">
      <c r="A205" s="47"/>
      <c r="B205" s="44"/>
      <c r="C205" s="44"/>
      <c r="D205" s="71"/>
      <c r="E205" s="38"/>
      <c r="F205" s="41"/>
      <c r="G205" s="44"/>
      <c r="H205" s="5" t="s">
        <v>17</v>
      </c>
      <c r="I205" s="1"/>
      <c r="J205" s="1"/>
      <c r="K205" s="1"/>
      <c r="L205" s="1"/>
      <c r="M205" s="1"/>
      <c r="N205" s="1"/>
    </row>
    <row r="206" spans="1:14" ht="12.75">
      <c r="A206" s="48"/>
      <c r="B206" s="45"/>
      <c r="C206" s="45"/>
      <c r="D206" s="72"/>
      <c r="E206" s="39"/>
      <c r="F206" s="42"/>
      <c r="G206" s="45"/>
      <c r="H206" s="3" t="s">
        <v>18</v>
      </c>
      <c r="I206" s="1"/>
      <c r="J206" s="1"/>
      <c r="K206" s="1"/>
      <c r="L206" s="1"/>
      <c r="M206" s="1"/>
      <c r="N206" s="1"/>
    </row>
    <row r="207" spans="1:14" ht="12.75">
      <c r="A207" s="46">
        <v>18</v>
      </c>
      <c r="B207" s="49">
        <v>600</v>
      </c>
      <c r="C207" s="49">
        <v>60016</v>
      </c>
      <c r="D207" s="31" t="s">
        <v>143</v>
      </c>
      <c r="E207" s="37" t="s">
        <v>87</v>
      </c>
      <c r="F207" s="40" t="s">
        <v>93</v>
      </c>
      <c r="G207" s="43">
        <f>SUM(I207:N207)</f>
        <v>1373750</v>
      </c>
      <c r="H207" s="4" t="s">
        <v>15</v>
      </c>
      <c r="I207" s="1">
        <f aca="true" t="shared" si="55" ref="I207:N207">SUM(I208:I210)</f>
        <v>48750</v>
      </c>
      <c r="J207" s="1">
        <f t="shared" si="55"/>
        <v>1000000</v>
      </c>
      <c r="K207" s="1">
        <f t="shared" si="55"/>
        <v>325000</v>
      </c>
      <c r="L207" s="1">
        <f t="shared" si="55"/>
        <v>0</v>
      </c>
      <c r="M207" s="1">
        <f t="shared" si="55"/>
        <v>0</v>
      </c>
      <c r="N207" s="1">
        <f t="shared" si="55"/>
        <v>0</v>
      </c>
    </row>
    <row r="208" spans="1:14" ht="12.75">
      <c r="A208" s="47"/>
      <c r="B208" s="44"/>
      <c r="C208" s="44"/>
      <c r="D208" s="32"/>
      <c r="E208" s="38"/>
      <c r="F208" s="41"/>
      <c r="G208" s="44"/>
      <c r="H208" s="3" t="s">
        <v>16</v>
      </c>
      <c r="I208" s="1">
        <v>48750</v>
      </c>
      <c r="J208" s="1">
        <v>150000</v>
      </c>
      <c r="K208" s="1">
        <v>48750</v>
      </c>
      <c r="L208" s="1"/>
      <c r="M208" s="1"/>
      <c r="N208" s="1"/>
    </row>
    <row r="209" spans="1:14" ht="22.5">
      <c r="A209" s="47"/>
      <c r="B209" s="44"/>
      <c r="C209" s="44"/>
      <c r="D209" s="32"/>
      <c r="E209" s="38"/>
      <c r="F209" s="41"/>
      <c r="G209" s="44"/>
      <c r="H209" s="5" t="s">
        <v>17</v>
      </c>
      <c r="I209" s="1"/>
      <c r="J209" s="1"/>
      <c r="K209" s="1"/>
      <c r="L209" s="1"/>
      <c r="M209" s="1"/>
      <c r="N209" s="1"/>
    </row>
    <row r="210" spans="1:14" ht="22.5" customHeight="1">
      <c r="A210" s="48"/>
      <c r="B210" s="45"/>
      <c r="C210" s="45"/>
      <c r="D210" s="33"/>
      <c r="E210" s="39"/>
      <c r="F210" s="42"/>
      <c r="G210" s="45"/>
      <c r="H210" s="3" t="s">
        <v>18</v>
      </c>
      <c r="I210" s="1">
        <f>276250-276250</f>
        <v>0</v>
      </c>
      <c r="J210" s="1">
        <v>850000</v>
      </c>
      <c r="K210" s="1">
        <v>276250</v>
      </c>
      <c r="L210" s="1"/>
      <c r="M210" s="1"/>
      <c r="N210" s="1"/>
    </row>
    <row r="211" spans="1:14" ht="22.5" customHeight="1">
      <c r="A211" s="46">
        <v>19</v>
      </c>
      <c r="B211" s="49">
        <v>600</v>
      </c>
      <c r="C211" s="49">
        <v>60016</v>
      </c>
      <c r="D211" s="56" t="s">
        <v>116</v>
      </c>
      <c r="E211" s="37" t="s">
        <v>87</v>
      </c>
      <c r="F211" s="40" t="s">
        <v>92</v>
      </c>
      <c r="G211" s="43">
        <f>SUM(I211:N211)</f>
        <v>9799000</v>
      </c>
      <c r="H211" s="4" t="s">
        <v>15</v>
      </c>
      <c r="I211" s="1">
        <f aca="true" t="shared" si="56" ref="I211:N211">SUM(I212:I214)</f>
        <v>0</v>
      </c>
      <c r="J211" s="1">
        <f t="shared" si="56"/>
        <v>4399500</v>
      </c>
      <c r="K211" s="1">
        <f t="shared" si="56"/>
        <v>5399500</v>
      </c>
      <c r="L211" s="1">
        <f t="shared" si="56"/>
        <v>0</v>
      </c>
      <c r="M211" s="1">
        <f t="shared" si="56"/>
        <v>0</v>
      </c>
      <c r="N211" s="1">
        <f t="shared" si="56"/>
        <v>0</v>
      </c>
    </row>
    <row r="212" spans="1:14" ht="12.75" customHeight="1">
      <c r="A212" s="47"/>
      <c r="B212" s="44"/>
      <c r="C212" s="44"/>
      <c r="D212" s="57"/>
      <c r="E212" s="38"/>
      <c r="F212" s="41"/>
      <c r="G212" s="44"/>
      <c r="H212" s="3" t="s">
        <v>16</v>
      </c>
      <c r="I212" s="1">
        <f>449625-400000-49625</f>
        <v>0</v>
      </c>
      <c r="J212" s="1">
        <v>1099875</v>
      </c>
      <c r="K212" s="1">
        <v>1349875</v>
      </c>
      <c r="L212" s="1"/>
      <c r="M212" s="1"/>
      <c r="N212" s="1"/>
    </row>
    <row r="213" spans="1:14" ht="36" customHeight="1">
      <c r="A213" s="47"/>
      <c r="B213" s="44"/>
      <c r="C213" s="44"/>
      <c r="D213" s="57"/>
      <c r="E213" s="38"/>
      <c r="F213" s="41"/>
      <c r="G213" s="44"/>
      <c r="H213" s="5" t="s">
        <v>17</v>
      </c>
      <c r="I213" s="1"/>
      <c r="J213" s="1"/>
      <c r="K213" s="1"/>
      <c r="L213" s="1"/>
      <c r="M213" s="1"/>
      <c r="N213" s="1"/>
    </row>
    <row r="214" spans="1:14" ht="12.75" customHeight="1">
      <c r="A214" s="48"/>
      <c r="B214" s="45"/>
      <c r="C214" s="45"/>
      <c r="D214" s="30"/>
      <c r="E214" s="39"/>
      <c r="F214" s="42"/>
      <c r="G214" s="45"/>
      <c r="H214" s="3" t="s">
        <v>18</v>
      </c>
      <c r="I214" s="1">
        <f>2547875-2399000-148875</f>
        <v>0</v>
      </c>
      <c r="J214" s="1">
        <v>3299625</v>
      </c>
      <c r="K214" s="1">
        <v>4049625</v>
      </c>
      <c r="L214" s="1"/>
      <c r="M214" s="1"/>
      <c r="N214" s="1"/>
    </row>
    <row r="215" spans="1:14" ht="12.75" customHeight="1">
      <c r="A215" s="46">
        <v>20</v>
      </c>
      <c r="B215" s="49">
        <v>600</v>
      </c>
      <c r="C215" s="49">
        <v>60016</v>
      </c>
      <c r="D215" s="31" t="s">
        <v>64</v>
      </c>
      <c r="E215" s="37" t="s">
        <v>87</v>
      </c>
      <c r="F215" s="40">
        <v>2008</v>
      </c>
      <c r="G215" s="43">
        <f>SUM(I215:N215)</f>
        <v>10000</v>
      </c>
      <c r="H215" s="4" t="s">
        <v>15</v>
      </c>
      <c r="I215" s="1">
        <f aca="true" t="shared" si="57" ref="I215:N215">SUM(I216:I218)</f>
        <v>10000</v>
      </c>
      <c r="J215" s="1">
        <f t="shared" si="57"/>
        <v>0</v>
      </c>
      <c r="K215" s="1">
        <f t="shared" si="57"/>
        <v>0</v>
      </c>
      <c r="L215" s="1">
        <f t="shared" si="57"/>
        <v>0</v>
      </c>
      <c r="M215" s="1">
        <f t="shared" si="57"/>
        <v>0</v>
      </c>
      <c r="N215" s="1">
        <f t="shared" si="57"/>
        <v>0</v>
      </c>
    </row>
    <row r="216" spans="1:14" ht="22.5" customHeight="1">
      <c r="A216" s="47"/>
      <c r="B216" s="44"/>
      <c r="C216" s="44"/>
      <c r="D216" s="32"/>
      <c r="E216" s="38"/>
      <c r="F216" s="41"/>
      <c r="G216" s="44"/>
      <c r="H216" s="3" t="s">
        <v>16</v>
      </c>
      <c r="I216" s="1">
        <v>10000</v>
      </c>
      <c r="J216" s="1"/>
      <c r="K216" s="1"/>
      <c r="L216" s="1"/>
      <c r="M216" s="1"/>
      <c r="N216" s="1"/>
    </row>
    <row r="217" spans="1:14" ht="36" customHeight="1">
      <c r="A217" s="47"/>
      <c r="B217" s="44"/>
      <c r="C217" s="44"/>
      <c r="D217" s="32"/>
      <c r="E217" s="38"/>
      <c r="F217" s="41"/>
      <c r="G217" s="44"/>
      <c r="H217" s="5" t="s">
        <v>17</v>
      </c>
      <c r="I217" s="1"/>
      <c r="J217" s="1"/>
      <c r="K217" s="1"/>
      <c r="L217" s="1"/>
      <c r="M217" s="1"/>
      <c r="N217" s="1"/>
    </row>
    <row r="218" spans="1:14" ht="12.75" customHeight="1">
      <c r="A218" s="48"/>
      <c r="B218" s="45"/>
      <c r="C218" s="45"/>
      <c r="D218" s="33"/>
      <c r="E218" s="39"/>
      <c r="F218" s="42"/>
      <c r="G218" s="45"/>
      <c r="H218" s="3" t="s">
        <v>18</v>
      </c>
      <c r="I218" s="1"/>
      <c r="J218" s="1"/>
      <c r="K218" s="1"/>
      <c r="L218" s="1"/>
      <c r="M218" s="1"/>
      <c r="N218" s="1"/>
    </row>
    <row r="219" spans="1:14" ht="12.75" customHeight="1">
      <c r="A219" s="46">
        <v>21</v>
      </c>
      <c r="B219" s="49">
        <v>600</v>
      </c>
      <c r="C219" s="49">
        <v>60016</v>
      </c>
      <c r="D219" s="31" t="s">
        <v>65</v>
      </c>
      <c r="E219" s="37" t="s">
        <v>87</v>
      </c>
      <c r="F219" s="40">
        <v>2008</v>
      </c>
      <c r="G219" s="43">
        <f>SUM(I219:N219)</f>
        <v>660000</v>
      </c>
      <c r="H219" s="4" t="s">
        <v>15</v>
      </c>
      <c r="I219" s="1">
        <f aca="true" t="shared" si="58" ref="I219:N219">SUM(I220:I222)</f>
        <v>660000</v>
      </c>
      <c r="J219" s="1">
        <f t="shared" si="58"/>
        <v>0</v>
      </c>
      <c r="K219" s="1">
        <f t="shared" si="58"/>
        <v>0</v>
      </c>
      <c r="L219" s="1">
        <f t="shared" si="58"/>
        <v>0</v>
      </c>
      <c r="M219" s="1">
        <f t="shared" si="58"/>
        <v>0</v>
      </c>
      <c r="N219" s="1">
        <f t="shared" si="58"/>
        <v>0</v>
      </c>
    </row>
    <row r="220" spans="1:14" ht="12.75" customHeight="1">
      <c r="A220" s="47"/>
      <c r="B220" s="44"/>
      <c r="C220" s="44"/>
      <c r="D220" s="32"/>
      <c r="E220" s="38"/>
      <c r="F220" s="41"/>
      <c r="G220" s="44"/>
      <c r="H220" s="3" t="s">
        <v>16</v>
      </c>
      <c r="I220" s="1">
        <f>500000+130000+30000</f>
        <v>660000</v>
      </c>
      <c r="J220" s="1"/>
      <c r="K220" s="1"/>
      <c r="L220" s="1"/>
      <c r="M220" s="1"/>
      <c r="N220" s="1"/>
    </row>
    <row r="221" spans="1:14" ht="36" customHeight="1">
      <c r="A221" s="47"/>
      <c r="B221" s="44"/>
      <c r="C221" s="44"/>
      <c r="D221" s="32"/>
      <c r="E221" s="38"/>
      <c r="F221" s="41"/>
      <c r="G221" s="44"/>
      <c r="H221" s="5" t="s">
        <v>17</v>
      </c>
      <c r="I221" s="1"/>
      <c r="J221" s="1"/>
      <c r="K221" s="1"/>
      <c r="L221" s="1"/>
      <c r="M221" s="1"/>
      <c r="N221" s="1"/>
    </row>
    <row r="222" spans="1:14" ht="12.75" customHeight="1">
      <c r="A222" s="48"/>
      <c r="B222" s="45"/>
      <c r="C222" s="45"/>
      <c r="D222" s="33"/>
      <c r="E222" s="39"/>
      <c r="F222" s="42"/>
      <c r="G222" s="45"/>
      <c r="H222" s="3" t="s">
        <v>18</v>
      </c>
      <c r="I222" s="1"/>
      <c r="J222" s="1"/>
      <c r="K222" s="1"/>
      <c r="L222" s="1"/>
      <c r="M222" s="1"/>
      <c r="N222" s="1"/>
    </row>
    <row r="223" spans="1:14" ht="12.75" customHeight="1">
      <c r="A223" s="46">
        <v>22</v>
      </c>
      <c r="B223" s="49">
        <v>600</v>
      </c>
      <c r="C223" s="49">
        <v>60016</v>
      </c>
      <c r="D223" s="31" t="s">
        <v>117</v>
      </c>
      <c r="E223" s="37" t="s">
        <v>87</v>
      </c>
      <c r="F223" s="49" t="s">
        <v>92</v>
      </c>
      <c r="G223" s="43">
        <f>SUM(I223:N223)</f>
        <v>5080000</v>
      </c>
      <c r="H223" s="4" t="s">
        <v>15</v>
      </c>
      <c r="I223" s="1">
        <f aca="true" t="shared" si="59" ref="I223:N223">SUM(I224:I226)</f>
        <v>160000</v>
      </c>
      <c r="J223" s="1">
        <f t="shared" si="59"/>
        <v>2020000</v>
      </c>
      <c r="K223" s="1">
        <f t="shared" si="59"/>
        <v>2900000</v>
      </c>
      <c r="L223" s="1">
        <f t="shared" si="59"/>
        <v>0</v>
      </c>
      <c r="M223" s="1">
        <f t="shared" si="59"/>
        <v>0</v>
      </c>
      <c r="N223" s="1">
        <f t="shared" si="59"/>
        <v>0</v>
      </c>
    </row>
    <row r="224" spans="1:14" ht="12.75" customHeight="1">
      <c r="A224" s="47"/>
      <c r="B224" s="44"/>
      <c r="C224" s="44"/>
      <c r="D224" s="32"/>
      <c r="E224" s="38"/>
      <c r="F224" s="44"/>
      <c r="G224" s="44"/>
      <c r="H224" s="3" t="s">
        <v>16</v>
      </c>
      <c r="I224" s="1">
        <f>150000+150000-220000</f>
        <v>80000</v>
      </c>
      <c r="J224" s="1">
        <f>505000+505000</f>
        <v>1010000</v>
      </c>
      <c r="K224" s="1">
        <f>725000+725000</f>
        <v>1450000</v>
      </c>
      <c r="L224" s="1"/>
      <c r="M224" s="1"/>
      <c r="N224" s="1"/>
    </row>
    <row r="225" spans="1:14" ht="36" customHeight="1">
      <c r="A225" s="47"/>
      <c r="B225" s="44"/>
      <c r="C225" s="44"/>
      <c r="D225" s="32"/>
      <c r="E225" s="38"/>
      <c r="F225" s="44"/>
      <c r="G225" s="44"/>
      <c r="H225" s="5" t="s">
        <v>17</v>
      </c>
      <c r="I225" s="1"/>
      <c r="J225" s="1"/>
      <c r="K225" s="1"/>
      <c r="L225" s="1"/>
      <c r="M225" s="1"/>
      <c r="N225" s="1"/>
    </row>
    <row r="226" spans="1:14" ht="12.75" customHeight="1">
      <c r="A226" s="48"/>
      <c r="B226" s="45"/>
      <c r="C226" s="45"/>
      <c r="D226" s="33"/>
      <c r="E226" s="39"/>
      <c r="F226" s="45"/>
      <c r="G226" s="45"/>
      <c r="H226" s="3" t="s">
        <v>18</v>
      </c>
      <c r="I226" s="1">
        <f>450000-150000-220000</f>
        <v>80000</v>
      </c>
      <c r="J226" s="1">
        <f>1515000-505000</f>
        <v>1010000</v>
      </c>
      <c r="K226" s="1">
        <f>2175000-725000</f>
        <v>1450000</v>
      </c>
      <c r="L226" s="1"/>
      <c r="M226" s="1"/>
      <c r="N226" s="1"/>
    </row>
    <row r="227" spans="1:14" ht="12.75" customHeight="1">
      <c r="A227" s="46">
        <v>23</v>
      </c>
      <c r="B227" s="49">
        <v>600</v>
      </c>
      <c r="C227" s="49">
        <v>60016</v>
      </c>
      <c r="D227" s="56" t="s">
        <v>118</v>
      </c>
      <c r="E227" s="37" t="s">
        <v>87</v>
      </c>
      <c r="F227" s="49" t="s">
        <v>93</v>
      </c>
      <c r="G227" s="43">
        <f>SUM(I227:N227)</f>
        <v>1437940</v>
      </c>
      <c r="H227" s="4" t="s">
        <v>15</v>
      </c>
      <c r="I227" s="1">
        <f aca="true" t="shared" si="60" ref="I227:N227">SUM(I228:I230)</f>
        <v>12940</v>
      </c>
      <c r="J227" s="1">
        <f t="shared" si="60"/>
        <v>1425000</v>
      </c>
      <c r="K227" s="1">
        <f t="shared" si="60"/>
        <v>0</v>
      </c>
      <c r="L227" s="1">
        <f t="shared" si="60"/>
        <v>0</v>
      </c>
      <c r="M227" s="1">
        <f t="shared" si="60"/>
        <v>0</v>
      </c>
      <c r="N227" s="1">
        <f t="shared" si="60"/>
        <v>0</v>
      </c>
    </row>
    <row r="228" spans="1:14" ht="12.75" customHeight="1">
      <c r="A228" s="47"/>
      <c r="B228" s="44"/>
      <c r="C228" s="44"/>
      <c r="D228" s="57"/>
      <c r="E228" s="38"/>
      <c r="F228" s="44"/>
      <c r="G228" s="44"/>
      <c r="H228" s="3" t="s">
        <v>16</v>
      </c>
      <c r="I228" s="1">
        <f>96750-93750-1060</f>
        <v>1940</v>
      </c>
      <c r="J228" s="1">
        <f>1425000*0.25</f>
        <v>356250</v>
      </c>
      <c r="K228" s="1"/>
      <c r="L228" s="1"/>
      <c r="M228" s="1"/>
      <c r="N228" s="1"/>
    </row>
    <row r="229" spans="1:14" ht="36" customHeight="1">
      <c r="A229" s="47"/>
      <c r="B229" s="44"/>
      <c r="C229" s="44"/>
      <c r="D229" s="57"/>
      <c r="E229" s="38"/>
      <c r="F229" s="44"/>
      <c r="G229" s="44"/>
      <c r="H229" s="5" t="s">
        <v>17</v>
      </c>
      <c r="I229" s="1"/>
      <c r="J229" s="1"/>
      <c r="K229" s="1"/>
      <c r="L229" s="1"/>
      <c r="M229" s="1"/>
      <c r="N229" s="1"/>
    </row>
    <row r="230" spans="1:14" ht="12.75" customHeight="1">
      <c r="A230" s="48"/>
      <c r="B230" s="45"/>
      <c r="C230" s="45"/>
      <c r="D230" s="30"/>
      <c r="E230" s="39"/>
      <c r="F230" s="45"/>
      <c r="G230" s="45"/>
      <c r="H230" s="3" t="s">
        <v>18</v>
      </c>
      <c r="I230" s="1">
        <f>548250-531250-6000</f>
        <v>11000</v>
      </c>
      <c r="J230" s="1">
        <f>1425000*0.75</f>
        <v>1068750</v>
      </c>
      <c r="K230" s="1"/>
      <c r="L230" s="1"/>
      <c r="M230" s="1"/>
      <c r="N230" s="1"/>
    </row>
    <row r="231" spans="1:14" ht="12.75" customHeight="1">
      <c r="A231" s="46">
        <v>24</v>
      </c>
      <c r="B231" s="49">
        <v>600</v>
      </c>
      <c r="C231" s="49">
        <v>60016</v>
      </c>
      <c r="D231" s="56" t="s">
        <v>144</v>
      </c>
      <c r="E231" s="37" t="s">
        <v>87</v>
      </c>
      <c r="F231" s="49" t="s">
        <v>93</v>
      </c>
      <c r="G231" s="43">
        <f>SUM(I231:N231)</f>
        <v>1720000</v>
      </c>
      <c r="H231" s="4" t="s">
        <v>15</v>
      </c>
      <c r="I231" s="1">
        <f aca="true" t="shared" si="61" ref="I231:N231">SUM(I232:I234)</f>
        <v>20000</v>
      </c>
      <c r="J231" s="1">
        <f t="shared" si="61"/>
        <v>850000</v>
      </c>
      <c r="K231" s="1">
        <f t="shared" si="61"/>
        <v>850000</v>
      </c>
      <c r="L231" s="1">
        <f t="shared" si="61"/>
        <v>0</v>
      </c>
      <c r="M231" s="1">
        <f t="shared" si="61"/>
        <v>0</v>
      </c>
      <c r="N231" s="1">
        <f t="shared" si="61"/>
        <v>0</v>
      </c>
    </row>
    <row r="232" spans="1:14" ht="12.75" customHeight="1">
      <c r="A232" s="47"/>
      <c r="B232" s="44"/>
      <c r="C232" s="44"/>
      <c r="D232" s="57"/>
      <c r="E232" s="38"/>
      <c r="F232" s="44"/>
      <c r="G232" s="44"/>
      <c r="H232" s="3" t="s">
        <v>16</v>
      </c>
      <c r="I232" s="1">
        <v>20000</v>
      </c>
      <c r="J232" s="1">
        <v>212500</v>
      </c>
      <c r="K232" s="1">
        <v>212500</v>
      </c>
      <c r="L232" s="1"/>
      <c r="M232" s="1"/>
      <c r="N232" s="1"/>
    </row>
    <row r="233" spans="1:14" ht="36" customHeight="1">
      <c r="A233" s="47"/>
      <c r="B233" s="44"/>
      <c r="C233" s="44"/>
      <c r="D233" s="57"/>
      <c r="E233" s="38"/>
      <c r="F233" s="44"/>
      <c r="G233" s="44"/>
      <c r="H233" s="5" t="s">
        <v>17</v>
      </c>
      <c r="I233" s="1"/>
      <c r="J233" s="1"/>
      <c r="K233" s="1"/>
      <c r="L233" s="1"/>
      <c r="M233" s="1"/>
      <c r="N233" s="1"/>
    </row>
    <row r="234" spans="1:14" ht="12.75" customHeight="1">
      <c r="A234" s="48"/>
      <c r="B234" s="45"/>
      <c r="C234" s="45"/>
      <c r="D234" s="30"/>
      <c r="E234" s="39"/>
      <c r="F234" s="45"/>
      <c r="G234" s="45"/>
      <c r="H234" s="3" t="s">
        <v>18</v>
      </c>
      <c r="I234" s="1"/>
      <c r="J234" s="1">
        <v>637500</v>
      </c>
      <c r="K234" s="1">
        <v>637500</v>
      </c>
      <c r="L234" s="1"/>
      <c r="M234" s="1"/>
      <c r="N234" s="1"/>
    </row>
    <row r="235" spans="1:14" ht="12.75" customHeight="1">
      <c r="A235" s="46">
        <v>25</v>
      </c>
      <c r="B235" s="49">
        <v>600</v>
      </c>
      <c r="C235" s="49">
        <v>60016</v>
      </c>
      <c r="D235" s="56" t="s">
        <v>113</v>
      </c>
      <c r="E235" s="37" t="s">
        <v>87</v>
      </c>
      <c r="F235" s="49">
        <v>2008</v>
      </c>
      <c r="G235" s="43">
        <f>SUM(I235:N235)</f>
        <v>157000</v>
      </c>
      <c r="H235" s="4" t="s">
        <v>15</v>
      </c>
      <c r="I235" s="1">
        <f>SUM(I236:I238)</f>
        <v>157000</v>
      </c>
      <c r="J235" s="1"/>
      <c r="K235" s="1"/>
      <c r="L235" s="1"/>
      <c r="M235" s="1"/>
      <c r="N235" s="1"/>
    </row>
    <row r="236" spans="1:14" ht="12.75" customHeight="1">
      <c r="A236" s="47"/>
      <c r="B236" s="44"/>
      <c r="C236" s="44"/>
      <c r="D236" s="57"/>
      <c r="E236" s="38"/>
      <c r="F236" s="44"/>
      <c r="G236" s="44"/>
      <c r="H236" s="3" t="s">
        <v>16</v>
      </c>
      <c r="I236" s="1">
        <f>110000+31000+10000+6000</f>
        <v>157000</v>
      </c>
      <c r="J236" s="1"/>
      <c r="K236" s="1"/>
      <c r="L236" s="1"/>
      <c r="M236" s="1"/>
      <c r="N236" s="1"/>
    </row>
    <row r="237" spans="1:14" ht="12.75" customHeight="1">
      <c r="A237" s="47"/>
      <c r="B237" s="44"/>
      <c r="C237" s="44"/>
      <c r="D237" s="57"/>
      <c r="E237" s="38"/>
      <c r="F237" s="44"/>
      <c r="G237" s="44"/>
      <c r="H237" s="5" t="s">
        <v>17</v>
      </c>
      <c r="I237" s="1"/>
      <c r="J237" s="1"/>
      <c r="K237" s="1"/>
      <c r="L237" s="1"/>
      <c r="M237" s="1"/>
      <c r="N237" s="1"/>
    </row>
    <row r="238" spans="1:14" ht="12.75" customHeight="1">
      <c r="A238" s="48"/>
      <c r="B238" s="45"/>
      <c r="C238" s="45"/>
      <c r="D238" s="30"/>
      <c r="E238" s="39"/>
      <c r="F238" s="45"/>
      <c r="G238" s="45"/>
      <c r="H238" s="3" t="s">
        <v>18</v>
      </c>
      <c r="I238" s="1"/>
      <c r="J238" s="1"/>
      <c r="K238" s="1"/>
      <c r="L238" s="1"/>
      <c r="M238" s="1"/>
      <c r="N238" s="1"/>
    </row>
    <row r="239" spans="1:14" ht="12.75" customHeight="1">
      <c r="A239" s="46">
        <v>26</v>
      </c>
      <c r="B239" s="49">
        <v>600</v>
      </c>
      <c r="C239" s="49">
        <v>60041</v>
      </c>
      <c r="D239" s="56" t="s">
        <v>119</v>
      </c>
      <c r="E239" s="37" t="s">
        <v>87</v>
      </c>
      <c r="F239" s="49" t="s">
        <v>95</v>
      </c>
      <c r="G239" s="43">
        <f>SUM(I239:N239)</f>
        <v>43394042.879999995</v>
      </c>
      <c r="H239" s="4" t="s">
        <v>15</v>
      </c>
      <c r="I239" s="1">
        <f aca="true" t="shared" si="62" ref="I239:N239">SUM(I240:I242)</f>
        <v>991176</v>
      </c>
      <c r="J239" s="1">
        <f t="shared" si="62"/>
        <v>19595551</v>
      </c>
      <c r="K239" s="1">
        <f t="shared" si="62"/>
        <v>19595551</v>
      </c>
      <c r="L239" s="1">
        <f t="shared" si="62"/>
        <v>3211764.879999999</v>
      </c>
      <c r="M239" s="1">
        <f t="shared" si="62"/>
        <v>0</v>
      </c>
      <c r="N239" s="1">
        <f t="shared" si="62"/>
        <v>0</v>
      </c>
    </row>
    <row r="240" spans="1:14" ht="12.75" customHeight="1">
      <c r="A240" s="47"/>
      <c r="B240" s="44"/>
      <c r="C240" s="44"/>
      <c r="D240" s="57"/>
      <c r="E240" s="38"/>
      <c r="F240" s="44"/>
      <c r="G240" s="44"/>
      <c r="H240" s="3" t="s">
        <v>16</v>
      </c>
      <c r="I240" s="1">
        <f>2152875-500000-652875-650000</f>
        <v>350000</v>
      </c>
      <c r="J240" s="1">
        <f>19595551*0.44</f>
        <v>8622042.44</v>
      </c>
      <c r="K240" s="1">
        <f>19595551*0.44</f>
        <v>8622042.44</v>
      </c>
      <c r="L240" s="1">
        <f>650000+349958</f>
        <v>999958</v>
      </c>
      <c r="M240" s="1"/>
      <c r="N240" s="1"/>
    </row>
    <row r="241" spans="1:14" ht="36" customHeight="1">
      <c r="A241" s="47"/>
      <c r="B241" s="44"/>
      <c r="C241" s="44"/>
      <c r="D241" s="57"/>
      <c r="E241" s="38"/>
      <c r="F241" s="44"/>
      <c r="G241" s="44"/>
      <c r="H241" s="5" t="s">
        <v>17</v>
      </c>
      <c r="I241" s="1"/>
      <c r="J241" s="1"/>
      <c r="K241" s="1"/>
      <c r="L241" s="1"/>
      <c r="M241" s="1"/>
      <c r="N241" s="1"/>
    </row>
    <row r="242" spans="1:14" ht="12.75" customHeight="1">
      <c r="A242" s="48"/>
      <c r="B242" s="45"/>
      <c r="C242" s="45"/>
      <c r="D242" s="30"/>
      <c r="E242" s="39"/>
      <c r="F242" s="45"/>
      <c r="G242" s="45"/>
      <c r="H242" s="3" t="s">
        <v>18</v>
      </c>
      <c r="I242" s="1">
        <f>12199625-10258449-1300000</f>
        <v>641176</v>
      </c>
      <c r="J242" s="1">
        <f>19595551*0.56</f>
        <v>10973508.56</v>
      </c>
      <c r="K242" s="1">
        <f>19595551*0.56</f>
        <v>10973508.56</v>
      </c>
      <c r="L242" s="1">
        <f>24800000-I242-J242-K242</f>
        <v>2211806.879999999</v>
      </c>
      <c r="M242" s="1"/>
      <c r="N242" s="1"/>
    </row>
    <row r="243" spans="1:14" ht="12.75" customHeight="1">
      <c r="A243" s="46">
        <v>27</v>
      </c>
      <c r="B243" s="49">
        <v>600</v>
      </c>
      <c r="C243" s="49">
        <v>60041</v>
      </c>
      <c r="D243" s="56" t="s">
        <v>120</v>
      </c>
      <c r="E243" s="37" t="s">
        <v>87</v>
      </c>
      <c r="F243" s="49" t="s">
        <v>95</v>
      </c>
      <c r="G243" s="43">
        <f>SUM(I243:N243)</f>
        <v>52190998.92</v>
      </c>
      <c r="H243" s="4" t="s">
        <v>15</v>
      </c>
      <c r="I243" s="1">
        <f aca="true" t="shared" si="63" ref="I243:N243">SUM(I244:I246)</f>
        <v>341176</v>
      </c>
      <c r="J243" s="1">
        <f t="shared" si="63"/>
        <v>24091088</v>
      </c>
      <c r="K243" s="1">
        <f t="shared" si="63"/>
        <v>24091088</v>
      </c>
      <c r="L243" s="1">
        <f t="shared" si="63"/>
        <v>3667646.920000002</v>
      </c>
      <c r="M243" s="1">
        <f t="shared" si="63"/>
        <v>0</v>
      </c>
      <c r="N243" s="1">
        <f t="shared" si="63"/>
        <v>0</v>
      </c>
    </row>
    <row r="244" spans="1:14" ht="12.75" customHeight="1">
      <c r="A244" s="47"/>
      <c r="B244" s="44"/>
      <c r="C244" s="44"/>
      <c r="D244" s="57"/>
      <c r="E244" s="38"/>
      <c r="F244" s="44"/>
      <c r="G244" s="44"/>
      <c r="H244" s="3" t="s">
        <v>16</v>
      </c>
      <c r="I244" s="1">
        <f>2769000-1100000-669000-900000</f>
        <v>100000</v>
      </c>
      <c r="J244" s="1">
        <f>24091088*0.42</f>
        <v>10118256.959999999</v>
      </c>
      <c r="K244" s="1">
        <f>24091088*0.42</f>
        <v>10118256.959999999</v>
      </c>
      <c r="L244" s="1">
        <f>669000+205485</f>
        <v>874485</v>
      </c>
      <c r="M244" s="1"/>
      <c r="N244" s="1"/>
    </row>
    <row r="245" spans="1:14" ht="36" customHeight="1">
      <c r="A245" s="47"/>
      <c r="B245" s="44"/>
      <c r="C245" s="44"/>
      <c r="D245" s="57"/>
      <c r="E245" s="38"/>
      <c r="F245" s="44"/>
      <c r="G245" s="44"/>
      <c r="H245" s="5" t="s">
        <v>17</v>
      </c>
      <c r="I245" s="1"/>
      <c r="J245" s="1"/>
      <c r="K245" s="1"/>
      <c r="L245" s="1"/>
      <c r="M245" s="1"/>
      <c r="N245" s="1"/>
    </row>
    <row r="246" spans="1:14" ht="22.5" customHeight="1">
      <c r="A246" s="48"/>
      <c r="B246" s="45"/>
      <c r="C246" s="45"/>
      <c r="D246" s="30"/>
      <c r="E246" s="39"/>
      <c r="F246" s="45"/>
      <c r="G246" s="45"/>
      <c r="H246" s="3" t="s">
        <v>18</v>
      </c>
      <c r="I246" s="1">
        <f>15691000-13749824-1700000</f>
        <v>241176</v>
      </c>
      <c r="J246" s="1">
        <f>24091088*0.58</f>
        <v>13972831.04</v>
      </c>
      <c r="K246" s="1">
        <f>24091088*0.58</f>
        <v>13972831.04</v>
      </c>
      <c r="L246" s="1">
        <f>30980000-I246-J246-K246</f>
        <v>2793161.920000002</v>
      </c>
      <c r="M246" s="1"/>
      <c r="N246" s="1"/>
    </row>
    <row r="247" spans="1:14" ht="22.5" customHeight="1">
      <c r="A247" s="46">
        <v>28</v>
      </c>
      <c r="B247" s="49">
        <v>600</v>
      </c>
      <c r="C247" s="49">
        <v>60041</v>
      </c>
      <c r="D247" s="56" t="s">
        <v>121</v>
      </c>
      <c r="E247" s="37" t="s">
        <v>87</v>
      </c>
      <c r="F247" s="49" t="s">
        <v>100</v>
      </c>
      <c r="G247" s="43">
        <f>SUM(I247:N247)</f>
        <v>71660000</v>
      </c>
      <c r="H247" s="4" t="s">
        <v>15</v>
      </c>
      <c r="I247" s="1">
        <f>SUM(I248:I250)</f>
        <v>5000</v>
      </c>
      <c r="J247" s="1">
        <f>SUM(J248:J250)</f>
        <v>3552353</v>
      </c>
      <c r="K247" s="1">
        <f>SUM(K248:K250)</f>
        <v>23000000</v>
      </c>
      <c r="L247" s="1">
        <f>SUM(L248:L250)</f>
        <v>25568349.4</v>
      </c>
      <c r="M247" s="1">
        <f>SUM(M248:M250)</f>
        <v>19534297.6</v>
      </c>
      <c r="N247" s="1"/>
    </row>
    <row r="248" spans="1:16" ht="12.75" customHeight="1">
      <c r="A248" s="47"/>
      <c r="B248" s="44"/>
      <c r="C248" s="44"/>
      <c r="D248" s="57"/>
      <c r="E248" s="38"/>
      <c r="F248" s="44"/>
      <c r="G248" s="44"/>
      <c r="H248" s="3" t="s">
        <v>16</v>
      </c>
      <c r="I248" s="1">
        <f>403500+500000-903500+5000</f>
        <v>5000</v>
      </c>
      <c r="J248" s="1">
        <f>3552353*0.3979</f>
        <v>1413481.2587</v>
      </c>
      <c r="K248" s="1">
        <f>23000000*0.3979</f>
        <v>9151700</v>
      </c>
      <c r="L248" s="1">
        <f>25540000*0.3979</f>
        <v>10162366</v>
      </c>
      <c r="M248" s="1">
        <f>19100000*0.3979-5084.26+462647</f>
        <v>8057452.74</v>
      </c>
      <c r="N248" s="1"/>
      <c r="P248" s="27"/>
    </row>
    <row r="249" spans="1:14" ht="36" customHeight="1">
      <c r="A249" s="47"/>
      <c r="B249" s="44"/>
      <c r="C249" s="44"/>
      <c r="D249" s="57"/>
      <c r="E249" s="38"/>
      <c r="F249" s="44"/>
      <c r="G249" s="44"/>
      <c r="H249" s="5" t="s">
        <v>17</v>
      </c>
      <c r="I249" s="1"/>
      <c r="J249" s="1"/>
      <c r="K249" s="1"/>
      <c r="L249" s="1"/>
      <c r="M249" s="1"/>
      <c r="N249" s="26"/>
    </row>
    <row r="250" spans="1:14" ht="12.75" customHeight="1">
      <c r="A250" s="48"/>
      <c r="B250" s="45"/>
      <c r="C250" s="45"/>
      <c r="D250" s="30"/>
      <c r="E250" s="39"/>
      <c r="F250" s="45"/>
      <c r="G250" s="45"/>
      <c r="H250" s="3" t="s">
        <v>18</v>
      </c>
      <c r="I250" s="1">
        <f>1753853-1753853</f>
        <v>0</v>
      </c>
      <c r="J250" s="1">
        <f>3552353*0.6021</f>
        <v>2138871.7413</v>
      </c>
      <c r="K250" s="1">
        <f>23000000*0.6021</f>
        <v>13848300</v>
      </c>
      <c r="L250" s="1">
        <f>25540000*0.60321</f>
        <v>15405983.4</v>
      </c>
      <c r="M250" s="1">
        <f>19100000*0.6021-23265.14</f>
        <v>11476844.86</v>
      </c>
      <c r="N250" s="1"/>
    </row>
    <row r="251" spans="1:14" ht="12.75" customHeight="1">
      <c r="A251" s="46">
        <v>29</v>
      </c>
      <c r="B251" s="49">
        <v>600</v>
      </c>
      <c r="C251" s="49">
        <v>60095</v>
      </c>
      <c r="D251" s="31" t="s">
        <v>66</v>
      </c>
      <c r="E251" s="37" t="s">
        <v>87</v>
      </c>
      <c r="F251" s="40">
        <v>2008</v>
      </c>
      <c r="G251" s="43">
        <f>SUM(I251:N251)</f>
        <v>933000</v>
      </c>
      <c r="H251" s="4" t="s">
        <v>15</v>
      </c>
      <c r="I251" s="1">
        <f aca="true" t="shared" si="64" ref="I251:N251">SUM(I252:I254)</f>
        <v>933000</v>
      </c>
      <c r="J251" s="1">
        <f t="shared" si="64"/>
        <v>0</v>
      </c>
      <c r="K251" s="1">
        <f t="shared" si="64"/>
        <v>0</v>
      </c>
      <c r="L251" s="1">
        <f t="shared" si="64"/>
        <v>0</v>
      </c>
      <c r="M251" s="1">
        <f t="shared" si="64"/>
        <v>0</v>
      </c>
      <c r="N251" s="1">
        <f t="shared" si="64"/>
        <v>0</v>
      </c>
    </row>
    <row r="252" spans="1:14" ht="12.75" customHeight="1">
      <c r="A252" s="47"/>
      <c r="B252" s="44"/>
      <c r="C252" s="44"/>
      <c r="D252" s="32"/>
      <c r="E252" s="38"/>
      <c r="F252" s="41"/>
      <c r="G252" s="44"/>
      <c r="H252" s="3" t="s">
        <v>16</v>
      </c>
      <c r="I252" s="1">
        <f>433617+350598</f>
        <v>784215</v>
      </c>
      <c r="J252" s="1"/>
      <c r="K252" s="1"/>
      <c r="L252" s="1"/>
      <c r="M252" s="1"/>
      <c r="N252" s="1"/>
    </row>
    <row r="253" spans="1:14" ht="36" customHeight="1">
      <c r="A253" s="47"/>
      <c r="B253" s="44"/>
      <c r="C253" s="44"/>
      <c r="D253" s="32"/>
      <c r="E253" s="38"/>
      <c r="F253" s="41"/>
      <c r="G253" s="44"/>
      <c r="H253" s="5" t="s">
        <v>17</v>
      </c>
      <c r="I253" s="1"/>
      <c r="J253" s="1"/>
      <c r="K253" s="1"/>
      <c r="L253" s="1"/>
      <c r="M253" s="1"/>
      <c r="N253" s="1"/>
    </row>
    <row r="254" spans="1:14" ht="22.5" customHeight="1">
      <c r="A254" s="48"/>
      <c r="B254" s="45"/>
      <c r="C254" s="45"/>
      <c r="D254" s="33"/>
      <c r="E254" s="39"/>
      <c r="F254" s="42"/>
      <c r="G254" s="45"/>
      <c r="H254" s="3" t="s">
        <v>18</v>
      </c>
      <c r="I254" s="1">
        <f>148785</f>
        <v>148785</v>
      </c>
      <c r="J254" s="1"/>
      <c r="K254" s="1"/>
      <c r="L254" s="1"/>
      <c r="M254" s="1"/>
      <c r="N254" s="1"/>
    </row>
    <row r="255" spans="1:14" ht="12.75" customHeight="1">
      <c r="A255" s="46">
        <v>30</v>
      </c>
      <c r="B255" s="49">
        <v>600</v>
      </c>
      <c r="C255" s="49">
        <v>60095</v>
      </c>
      <c r="D255" s="56" t="s">
        <v>122</v>
      </c>
      <c r="E255" s="37" t="s">
        <v>87</v>
      </c>
      <c r="F255" s="40" t="s">
        <v>99</v>
      </c>
      <c r="G255" s="43">
        <f>SUM(I255:N255)</f>
        <v>15000000</v>
      </c>
      <c r="H255" s="4" t="s">
        <v>15</v>
      </c>
      <c r="I255" s="1">
        <f aca="true" t="shared" si="65" ref="I255:N255">SUM(I256:I258)</f>
        <v>0</v>
      </c>
      <c r="J255" s="1">
        <f t="shared" si="65"/>
        <v>500000</v>
      </c>
      <c r="K255" s="1">
        <f>SUM(K256:K258)</f>
        <v>3500000</v>
      </c>
      <c r="L255" s="1">
        <f t="shared" si="65"/>
        <v>3500000</v>
      </c>
      <c r="M255" s="1">
        <f t="shared" si="65"/>
        <v>3500000</v>
      </c>
      <c r="N255" s="1">
        <f t="shared" si="65"/>
        <v>4000000</v>
      </c>
    </row>
    <row r="256" spans="1:14" ht="22.5" customHeight="1">
      <c r="A256" s="47"/>
      <c r="B256" s="44"/>
      <c r="C256" s="44"/>
      <c r="D256" s="57"/>
      <c r="E256" s="38"/>
      <c r="F256" s="41"/>
      <c r="G256" s="44"/>
      <c r="H256" s="3" t="s">
        <v>16</v>
      </c>
      <c r="I256" s="1">
        <f>300000-300000</f>
        <v>0</v>
      </c>
      <c r="J256" s="1">
        <v>250000</v>
      </c>
      <c r="K256" s="1">
        <v>1750000</v>
      </c>
      <c r="L256" s="1">
        <v>1750000</v>
      </c>
      <c r="M256" s="1">
        <v>1750000</v>
      </c>
      <c r="N256" s="1">
        <v>2000000</v>
      </c>
    </row>
    <row r="257" spans="1:14" ht="36" customHeight="1">
      <c r="A257" s="47"/>
      <c r="B257" s="44"/>
      <c r="C257" s="44"/>
      <c r="D257" s="57"/>
      <c r="E257" s="38"/>
      <c r="F257" s="41"/>
      <c r="G257" s="44"/>
      <c r="H257" s="5" t="s">
        <v>17</v>
      </c>
      <c r="I257" s="1"/>
      <c r="J257" s="1"/>
      <c r="K257" s="1"/>
      <c r="L257" s="1"/>
      <c r="M257" s="1"/>
      <c r="N257" s="1"/>
    </row>
    <row r="258" spans="1:14" ht="12.75" customHeight="1">
      <c r="A258" s="48"/>
      <c r="B258" s="45"/>
      <c r="C258" s="45"/>
      <c r="D258" s="30"/>
      <c r="E258" s="39"/>
      <c r="F258" s="42"/>
      <c r="G258" s="45"/>
      <c r="H258" s="3" t="s">
        <v>18</v>
      </c>
      <c r="I258" s="1">
        <f>1700000-1700000</f>
        <v>0</v>
      </c>
      <c r="J258" s="1">
        <v>250000</v>
      </c>
      <c r="K258" s="1">
        <v>1750000</v>
      </c>
      <c r="L258" s="1">
        <v>1750000</v>
      </c>
      <c r="M258" s="1">
        <v>1750000</v>
      </c>
      <c r="N258" s="1">
        <v>2000000</v>
      </c>
    </row>
    <row r="259" spans="1:14" ht="12.75" customHeight="1">
      <c r="A259" s="46">
        <v>31</v>
      </c>
      <c r="B259" s="49">
        <v>700</v>
      </c>
      <c r="C259" s="49">
        <v>70095</v>
      </c>
      <c r="D259" s="56" t="s">
        <v>106</v>
      </c>
      <c r="E259" s="37" t="s">
        <v>87</v>
      </c>
      <c r="F259" s="40">
        <v>2008</v>
      </c>
      <c r="G259" s="43">
        <f>SUM(I259:N259)</f>
        <v>4000000</v>
      </c>
      <c r="H259" s="4" t="s">
        <v>15</v>
      </c>
      <c r="I259" s="1">
        <f aca="true" t="shared" si="66" ref="I259:N259">SUM(I260:I262)</f>
        <v>350000</v>
      </c>
      <c r="J259" s="1">
        <f t="shared" si="66"/>
        <v>1200000</v>
      </c>
      <c r="K259" s="1">
        <f t="shared" si="66"/>
        <v>1200000</v>
      </c>
      <c r="L259" s="1">
        <f t="shared" si="66"/>
        <v>1250000</v>
      </c>
      <c r="M259" s="1">
        <f t="shared" si="66"/>
        <v>0</v>
      </c>
      <c r="N259" s="1">
        <f t="shared" si="66"/>
        <v>0</v>
      </c>
    </row>
    <row r="260" spans="1:14" ht="22.5" customHeight="1">
      <c r="A260" s="47"/>
      <c r="B260" s="44"/>
      <c r="C260" s="44"/>
      <c r="D260" s="57"/>
      <c r="E260" s="38"/>
      <c r="F260" s="41"/>
      <c r="G260" s="44"/>
      <c r="H260" s="3" t="s">
        <v>16</v>
      </c>
      <c r="I260" s="1">
        <f>1000000-650000</f>
        <v>350000</v>
      </c>
      <c r="J260" s="1">
        <f>1000000+200000</f>
        <v>1200000</v>
      </c>
      <c r="K260" s="1">
        <f>1000000+200000</f>
        <v>1200000</v>
      </c>
      <c r="L260" s="1">
        <f>1000000+250000</f>
        <v>1250000</v>
      </c>
      <c r="M260" s="1"/>
      <c r="N260" s="1"/>
    </row>
    <row r="261" spans="1:14" ht="36" customHeight="1">
      <c r="A261" s="47"/>
      <c r="B261" s="44"/>
      <c r="C261" s="44"/>
      <c r="D261" s="57"/>
      <c r="E261" s="38"/>
      <c r="F261" s="41"/>
      <c r="G261" s="44"/>
      <c r="H261" s="5" t="s">
        <v>17</v>
      </c>
      <c r="I261" s="1"/>
      <c r="J261" s="1"/>
      <c r="K261" s="1"/>
      <c r="L261" s="1"/>
      <c r="M261" s="1"/>
      <c r="N261" s="1"/>
    </row>
    <row r="262" spans="1:14" ht="12.75" customHeight="1">
      <c r="A262" s="48"/>
      <c r="B262" s="45"/>
      <c r="C262" s="45"/>
      <c r="D262" s="30"/>
      <c r="E262" s="39"/>
      <c r="F262" s="42"/>
      <c r="G262" s="45"/>
      <c r="H262" s="3" t="s">
        <v>18</v>
      </c>
      <c r="I262" s="1"/>
      <c r="J262" s="1"/>
      <c r="K262" s="1"/>
      <c r="L262" s="1"/>
      <c r="M262" s="1"/>
      <c r="N262" s="1"/>
    </row>
    <row r="263" spans="1:14" ht="12.75" customHeight="1">
      <c r="A263" s="46">
        <v>32</v>
      </c>
      <c r="B263" s="49">
        <v>754</v>
      </c>
      <c r="C263" s="49">
        <v>75495</v>
      </c>
      <c r="D263" s="56" t="s">
        <v>123</v>
      </c>
      <c r="E263" s="37" t="s">
        <v>87</v>
      </c>
      <c r="F263" s="49" t="s">
        <v>95</v>
      </c>
      <c r="G263" s="43">
        <f>SUM(I263:N263)</f>
        <v>6000000</v>
      </c>
      <c r="H263" s="4" t="s">
        <v>15</v>
      </c>
      <c r="I263" s="1">
        <f aca="true" t="shared" si="67" ref="I263:N263">SUM(I264:I266)</f>
        <v>50000</v>
      </c>
      <c r="J263" s="1">
        <f t="shared" si="67"/>
        <v>1850000</v>
      </c>
      <c r="K263" s="1">
        <f t="shared" si="67"/>
        <v>2000000</v>
      </c>
      <c r="L263" s="1">
        <f t="shared" si="67"/>
        <v>2100000</v>
      </c>
      <c r="M263" s="1">
        <f t="shared" si="67"/>
        <v>0</v>
      </c>
      <c r="N263" s="1">
        <f t="shared" si="67"/>
        <v>0</v>
      </c>
    </row>
    <row r="264" spans="1:14" ht="12.75" customHeight="1">
      <c r="A264" s="47"/>
      <c r="B264" s="44"/>
      <c r="C264" s="44"/>
      <c r="D264" s="57"/>
      <c r="E264" s="38"/>
      <c r="F264" s="44"/>
      <c r="G264" s="44"/>
      <c r="H264" s="3" t="s">
        <v>16</v>
      </c>
      <c r="I264" s="1">
        <f>30000+70000-50000</f>
        <v>50000</v>
      </c>
      <c r="J264" s="1">
        <f>(1800000+50000)*0.25</f>
        <v>462500</v>
      </c>
      <c r="K264" s="1">
        <v>500000</v>
      </c>
      <c r="L264" s="1">
        <v>525000</v>
      </c>
      <c r="M264" s="1"/>
      <c r="N264" s="1"/>
    </row>
    <row r="265" spans="1:14" ht="36" customHeight="1">
      <c r="A265" s="47"/>
      <c r="B265" s="44"/>
      <c r="C265" s="44"/>
      <c r="D265" s="57"/>
      <c r="E265" s="38"/>
      <c r="F265" s="44"/>
      <c r="G265" s="44"/>
      <c r="H265" s="5" t="s">
        <v>17</v>
      </c>
      <c r="I265" s="1"/>
      <c r="J265" s="1"/>
      <c r="K265" s="1"/>
      <c r="L265" s="1"/>
      <c r="M265" s="1"/>
      <c r="N265" s="1"/>
    </row>
    <row r="266" spans="1:14" ht="12.75" customHeight="1">
      <c r="A266" s="48"/>
      <c r="B266" s="45"/>
      <c r="C266" s="45"/>
      <c r="D266" s="30"/>
      <c r="E266" s="39"/>
      <c r="F266" s="45"/>
      <c r="G266" s="45"/>
      <c r="H266" s="3" t="s">
        <v>18</v>
      </c>
      <c r="I266" s="1">
        <f>170000-170000</f>
        <v>0</v>
      </c>
      <c r="J266" s="1">
        <f>(1800000+50000)*0.75</f>
        <v>1387500</v>
      </c>
      <c r="K266" s="1">
        <v>1500000</v>
      </c>
      <c r="L266" s="1">
        <v>1575000</v>
      </c>
      <c r="M266" s="1"/>
      <c r="N266" s="1"/>
    </row>
    <row r="267" spans="1:14" ht="12.75" customHeight="1">
      <c r="A267" s="46">
        <v>33</v>
      </c>
      <c r="B267" s="49">
        <v>754</v>
      </c>
      <c r="C267" s="49">
        <v>75495</v>
      </c>
      <c r="D267" s="31" t="s">
        <v>67</v>
      </c>
      <c r="E267" s="37" t="s">
        <v>87</v>
      </c>
      <c r="F267" s="49" t="s">
        <v>92</v>
      </c>
      <c r="G267" s="43">
        <f>SUM(I267:N267)</f>
        <v>865000</v>
      </c>
      <c r="H267" s="4" t="s">
        <v>15</v>
      </c>
      <c r="I267" s="1">
        <f aca="true" t="shared" si="68" ref="I267:N267">SUM(I268:I270)</f>
        <v>375000</v>
      </c>
      <c r="J267" s="1">
        <f t="shared" si="68"/>
        <v>245000</v>
      </c>
      <c r="K267" s="1">
        <f t="shared" si="68"/>
        <v>245000</v>
      </c>
      <c r="L267" s="1">
        <f t="shared" si="68"/>
        <v>0</v>
      </c>
      <c r="M267" s="1">
        <f t="shared" si="68"/>
        <v>0</v>
      </c>
      <c r="N267" s="1">
        <f t="shared" si="68"/>
        <v>0</v>
      </c>
    </row>
    <row r="268" spans="1:14" ht="12.75" customHeight="1">
      <c r="A268" s="47"/>
      <c r="B268" s="44"/>
      <c r="C268" s="44"/>
      <c r="D268" s="32"/>
      <c r="E268" s="38"/>
      <c r="F268" s="44"/>
      <c r="G268" s="44"/>
      <c r="H268" s="3" t="s">
        <v>16</v>
      </c>
      <c r="I268" s="1">
        <f>160000+200000</f>
        <v>360000</v>
      </c>
      <c r="J268" s="1">
        <v>245000</v>
      </c>
      <c r="K268" s="1">
        <v>245000</v>
      </c>
      <c r="L268" s="1"/>
      <c r="M268" s="1"/>
      <c r="N268" s="1"/>
    </row>
    <row r="269" spans="1:14" ht="36" customHeight="1">
      <c r="A269" s="47"/>
      <c r="B269" s="44"/>
      <c r="C269" s="44"/>
      <c r="D269" s="32"/>
      <c r="E269" s="38"/>
      <c r="F269" s="44"/>
      <c r="G269" s="44"/>
      <c r="H269" s="5" t="s">
        <v>17</v>
      </c>
      <c r="I269" s="1"/>
      <c r="J269" s="1"/>
      <c r="K269" s="1"/>
      <c r="L269" s="1"/>
      <c r="M269" s="1"/>
      <c r="N269" s="1"/>
    </row>
    <row r="270" spans="1:14" ht="12.75" customHeight="1">
      <c r="A270" s="48"/>
      <c r="B270" s="45"/>
      <c r="C270" s="45"/>
      <c r="D270" s="33"/>
      <c r="E270" s="39"/>
      <c r="F270" s="45"/>
      <c r="G270" s="45"/>
      <c r="H270" s="3" t="s">
        <v>18</v>
      </c>
      <c r="I270" s="1">
        <v>15000</v>
      </c>
      <c r="J270" s="1"/>
      <c r="K270" s="1"/>
      <c r="L270" s="1"/>
      <c r="M270" s="1"/>
      <c r="N270" s="1"/>
    </row>
    <row r="271" spans="1:14" ht="12.75" customHeight="1">
      <c r="A271" s="46">
        <v>34</v>
      </c>
      <c r="B271" s="49">
        <v>754</v>
      </c>
      <c r="C271" s="49">
        <v>75495</v>
      </c>
      <c r="D271" s="56" t="s">
        <v>89</v>
      </c>
      <c r="E271" s="37" t="s">
        <v>87</v>
      </c>
      <c r="F271" s="40">
        <v>2008</v>
      </c>
      <c r="G271" s="43">
        <f>SUM(I271:N271)</f>
        <v>870000</v>
      </c>
      <c r="H271" s="4" t="s">
        <v>15</v>
      </c>
      <c r="I271" s="1">
        <f aca="true" t="shared" si="69" ref="I271:N271">SUM(I272:I274)</f>
        <v>870000</v>
      </c>
      <c r="J271" s="1">
        <f t="shared" si="69"/>
        <v>0</v>
      </c>
      <c r="K271" s="1">
        <f t="shared" si="69"/>
        <v>0</v>
      </c>
      <c r="L271" s="1">
        <f t="shared" si="69"/>
        <v>0</v>
      </c>
      <c r="M271" s="1">
        <f t="shared" si="69"/>
        <v>0</v>
      </c>
      <c r="N271" s="1">
        <f t="shared" si="69"/>
        <v>0</v>
      </c>
    </row>
    <row r="272" spans="1:14" ht="12.75" customHeight="1">
      <c r="A272" s="47"/>
      <c r="B272" s="44"/>
      <c r="C272" s="44"/>
      <c r="D272" s="57"/>
      <c r="E272" s="38"/>
      <c r="F272" s="41"/>
      <c r="G272" s="44"/>
      <c r="H272" s="3" t="s">
        <v>16</v>
      </c>
      <c r="I272" s="1">
        <f>850000+20000</f>
        <v>870000</v>
      </c>
      <c r="J272" s="1"/>
      <c r="K272" s="1"/>
      <c r="L272" s="1"/>
      <c r="M272" s="1"/>
      <c r="N272" s="1"/>
    </row>
    <row r="273" spans="1:14" ht="36" customHeight="1">
      <c r="A273" s="47"/>
      <c r="B273" s="44"/>
      <c r="C273" s="44"/>
      <c r="D273" s="57"/>
      <c r="E273" s="38"/>
      <c r="F273" s="41"/>
      <c r="G273" s="44"/>
      <c r="H273" s="5" t="s">
        <v>17</v>
      </c>
      <c r="I273" s="1"/>
      <c r="J273" s="1"/>
      <c r="K273" s="1"/>
      <c r="L273" s="1"/>
      <c r="M273" s="1"/>
      <c r="N273" s="1"/>
    </row>
    <row r="274" spans="1:14" ht="12.75" customHeight="1">
      <c r="A274" s="48"/>
      <c r="B274" s="45"/>
      <c r="C274" s="45"/>
      <c r="D274" s="30"/>
      <c r="E274" s="39"/>
      <c r="F274" s="42"/>
      <c r="G274" s="45"/>
      <c r="H274" s="3" t="s">
        <v>18</v>
      </c>
      <c r="I274" s="1"/>
      <c r="J274" s="1"/>
      <c r="K274" s="1"/>
      <c r="L274" s="1"/>
      <c r="M274" s="1"/>
      <c r="N274" s="1"/>
    </row>
    <row r="275" spans="1:14" ht="12.75" customHeight="1">
      <c r="A275" s="46">
        <v>35</v>
      </c>
      <c r="B275" s="49">
        <v>800</v>
      </c>
      <c r="C275" s="49">
        <v>80101</v>
      </c>
      <c r="D275" s="56" t="s">
        <v>105</v>
      </c>
      <c r="E275" s="37" t="s">
        <v>87</v>
      </c>
      <c r="F275" s="40">
        <v>2008</v>
      </c>
      <c r="G275" s="43">
        <f>SUM(I275:N275)</f>
        <v>3447577.69</v>
      </c>
      <c r="H275" s="4" t="s">
        <v>15</v>
      </c>
      <c r="I275" s="1">
        <f aca="true" t="shared" si="70" ref="I275:N275">SUM(I276:I278)</f>
        <v>3447577.69</v>
      </c>
      <c r="J275" s="1">
        <f t="shared" si="70"/>
        <v>0</v>
      </c>
      <c r="K275" s="1">
        <f t="shared" si="70"/>
        <v>0</v>
      </c>
      <c r="L275" s="1">
        <f t="shared" si="70"/>
        <v>0</v>
      </c>
      <c r="M275" s="1">
        <f t="shared" si="70"/>
        <v>0</v>
      </c>
      <c r="N275" s="1">
        <f t="shared" si="70"/>
        <v>0</v>
      </c>
    </row>
    <row r="276" spans="1:14" ht="22.5" customHeight="1">
      <c r="A276" s="47"/>
      <c r="B276" s="44"/>
      <c r="C276" s="44"/>
      <c r="D276" s="57"/>
      <c r="E276" s="38"/>
      <c r="F276" s="41"/>
      <c r="G276" s="44"/>
      <c r="H276" s="3" t="s">
        <v>16</v>
      </c>
      <c r="I276" s="1">
        <f aca="true" t="shared" si="71" ref="I276:N276">I280+I284</f>
        <v>2048349.7999999998</v>
      </c>
      <c r="J276" s="1">
        <f t="shared" si="71"/>
        <v>0</v>
      </c>
      <c r="K276" s="1">
        <f t="shared" si="71"/>
        <v>0</v>
      </c>
      <c r="L276" s="1">
        <f t="shared" si="71"/>
        <v>0</v>
      </c>
      <c r="M276" s="1">
        <f t="shared" si="71"/>
        <v>0</v>
      </c>
      <c r="N276" s="1">
        <f t="shared" si="71"/>
        <v>0</v>
      </c>
    </row>
    <row r="277" spans="1:14" ht="36" customHeight="1">
      <c r="A277" s="47"/>
      <c r="B277" s="44"/>
      <c r="C277" s="44"/>
      <c r="D277" s="57"/>
      <c r="E277" s="38"/>
      <c r="F277" s="41"/>
      <c r="G277" s="44"/>
      <c r="H277" s="5" t="s">
        <v>17</v>
      </c>
      <c r="I277" s="1">
        <f aca="true" t="shared" si="72" ref="I277:N278">I281+I285</f>
        <v>0</v>
      </c>
      <c r="J277" s="1">
        <f t="shared" si="72"/>
        <v>0</v>
      </c>
      <c r="K277" s="1">
        <f t="shared" si="72"/>
        <v>0</v>
      </c>
      <c r="L277" s="1">
        <f t="shared" si="72"/>
        <v>0</v>
      </c>
      <c r="M277" s="1">
        <f t="shared" si="72"/>
        <v>0</v>
      </c>
      <c r="N277" s="1">
        <f t="shared" si="72"/>
        <v>0</v>
      </c>
    </row>
    <row r="278" spans="1:14" ht="12.75" customHeight="1">
      <c r="A278" s="48"/>
      <c r="B278" s="45"/>
      <c r="C278" s="45"/>
      <c r="D278" s="30"/>
      <c r="E278" s="39"/>
      <c r="F278" s="42"/>
      <c r="G278" s="45"/>
      <c r="H278" s="3" t="s">
        <v>18</v>
      </c>
      <c r="I278" s="1">
        <f t="shared" si="72"/>
        <v>1399227.8900000001</v>
      </c>
      <c r="J278" s="1">
        <f t="shared" si="72"/>
        <v>0</v>
      </c>
      <c r="K278" s="1">
        <f t="shared" si="72"/>
        <v>0</v>
      </c>
      <c r="L278" s="1">
        <f t="shared" si="72"/>
        <v>0</v>
      </c>
      <c r="M278" s="1">
        <f t="shared" si="72"/>
        <v>0</v>
      </c>
      <c r="N278" s="1">
        <f t="shared" si="72"/>
        <v>0</v>
      </c>
    </row>
    <row r="279" spans="1:14" ht="12.75" customHeight="1">
      <c r="A279" s="46"/>
      <c r="B279" s="49">
        <v>801</v>
      </c>
      <c r="C279" s="49">
        <v>80101</v>
      </c>
      <c r="D279" s="50" t="s">
        <v>111</v>
      </c>
      <c r="E279" s="37" t="s">
        <v>87</v>
      </c>
      <c r="F279" s="40">
        <v>2008</v>
      </c>
      <c r="G279" s="43">
        <f>SUM(I279:N279)</f>
        <v>897904</v>
      </c>
      <c r="H279" s="4" t="s">
        <v>15</v>
      </c>
      <c r="I279" s="1">
        <f aca="true" t="shared" si="73" ref="I279:N279">SUM(I280:I282)</f>
        <v>897904</v>
      </c>
      <c r="J279" s="1">
        <f t="shared" si="73"/>
        <v>0</v>
      </c>
      <c r="K279" s="1">
        <f t="shared" si="73"/>
        <v>0</v>
      </c>
      <c r="L279" s="1">
        <f t="shared" si="73"/>
        <v>0</v>
      </c>
      <c r="M279" s="1">
        <f t="shared" si="73"/>
        <v>0</v>
      </c>
      <c r="N279" s="1">
        <f t="shared" si="73"/>
        <v>0</v>
      </c>
    </row>
    <row r="280" spans="1:14" ht="22.5" customHeight="1">
      <c r="A280" s="47"/>
      <c r="B280" s="44"/>
      <c r="C280" s="44"/>
      <c r="D280" s="51"/>
      <c r="E280" s="38"/>
      <c r="F280" s="41"/>
      <c r="G280" s="44"/>
      <c r="H280" s="3" t="s">
        <v>16</v>
      </c>
      <c r="I280" s="1">
        <f>750+850861-750-721794+37460</f>
        <v>166527</v>
      </c>
      <c r="J280" s="1"/>
      <c r="K280" s="1"/>
      <c r="L280" s="1"/>
      <c r="M280" s="1"/>
      <c r="N280" s="1"/>
    </row>
    <row r="281" spans="1:14" ht="36" customHeight="1">
      <c r="A281" s="47"/>
      <c r="B281" s="44"/>
      <c r="C281" s="44"/>
      <c r="D281" s="51"/>
      <c r="E281" s="38"/>
      <c r="F281" s="41"/>
      <c r="G281" s="44"/>
      <c r="H281" s="5" t="s">
        <v>17</v>
      </c>
      <c r="I281" s="1"/>
      <c r="J281" s="1"/>
      <c r="K281" s="1"/>
      <c r="L281" s="1"/>
      <c r="M281" s="1"/>
      <c r="N281" s="1"/>
    </row>
    <row r="282" spans="1:14" ht="12.75" customHeight="1">
      <c r="A282" s="48"/>
      <c r="B282" s="45"/>
      <c r="C282" s="45"/>
      <c r="D282" s="52"/>
      <c r="E282" s="39"/>
      <c r="F282" s="42"/>
      <c r="G282" s="45"/>
      <c r="H282" s="3" t="s">
        <v>18</v>
      </c>
      <c r="I282" s="1">
        <f>4250+121544-4250+609833</f>
        <v>731377</v>
      </c>
      <c r="J282" s="1"/>
      <c r="K282" s="1"/>
      <c r="L282" s="1"/>
      <c r="M282" s="1"/>
      <c r="N282" s="1"/>
    </row>
    <row r="283" spans="1:14" ht="12.75" customHeight="1">
      <c r="A283" s="46"/>
      <c r="B283" s="49">
        <v>801</v>
      </c>
      <c r="C283" s="49">
        <v>80101</v>
      </c>
      <c r="D283" s="50" t="s">
        <v>107</v>
      </c>
      <c r="E283" s="37" t="s">
        <v>87</v>
      </c>
      <c r="F283" s="40">
        <v>2008</v>
      </c>
      <c r="G283" s="43">
        <f>SUM(I283:N283)</f>
        <v>2549673.69</v>
      </c>
      <c r="H283" s="4" t="s">
        <v>15</v>
      </c>
      <c r="I283" s="1">
        <f aca="true" t="shared" si="74" ref="I283:N283">SUM(I284:I286)</f>
        <v>2549673.69</v>
      </c>
      <c r="J283" s="1">
        <f t="shared" si="74"/>
        <v>0</v>
      </c>
      <c r="K283" s="1">
        <f t="shared" si="74"/>
        <v>0</v>
      </c>
      <c r="L283" s="1">
        <f t="shared" si="74"/>
        <v>0</v>
      </c>
      <c r="M283" s="1">
        <f t="shared" si="74"/>
        <v>0</v>
      </c>
      <c r="N283" s="1">
        <f t="shared" si="74"/>
        <v>0</v>
      </c>
    </row>
    <row r="284" spans="1:14" ht="22.5" customHeight="1">
      <c r="A284" s="47"/>
      <c r="B284" s="44"/>
      <c r="C284" s="44"/>
      <c r="D284" s="51"/>
      <c r="E284" s="38"/>
      <c r="F284" s="41"/>
      <c r="G284" s="44"/>
      <c r="H284" s="3" t="s">
        <v>16</v>
      </c>
      <c r="I284" s="1">
        <f>750+1345989+750-1227615+1858603-95024.86-1629.34</f>
        <v>1881822.7999999998</v>
      </c>
      <c r="J284" s="1"/>
      <c r="K284" s="1"/>
      <c r="L284" s="1"/>
      <c r="M284" s="1"/>
      <c r="N284" s="1"/>
    </row>
    <row r="285" spans="1:14" ht="36" customHeight="1">
      <c r="A285" s="47"/>
      <c r="B285" s="44"/>
      <c r="C285" s="44"/>
      <c r="D285" s="51"/>
      <c r="E285" s="38"/>
      <c r="F285" s="41"/>
      <c r="G285" s="44"/>
      <c r="H285" s="5" t="s">
        <v>17</v>
      </c>
      <c r="I285" s="1"/>
      <c r="J285" s="1"/>
      <c r="K285" s="1"/>
      <c r="L285" s="1"/>
      <c r="M285" s="1"/>
      <c r="N285" s="1"/>
    </row>
    <row r="286" spans="1:14" ht="12.75" customHeight="1">
      <c r="A286" s="48"/>
      <c r="B286" s="45"/>
      <c r="C286" s="45"/>
      <c r="D286" s="52"/>
      <c r="E286" s="39"/>
      <c r="F286" s="42"/>
      <c r="G286" s="45"/>
      <c r="H286" s="3" t="s">
        <v>18</v>
      </c>
      <c r="I286" s="1">
        <f>4250+1227272+4250-556487-11434.11</f>
        <v>667850.89</v>
      </c>
      <c r="J286" s="1"/>
      <c r="K286" s="1"/>
      <c r="L286" s="1"/>
      <c r="M286" s="1"/>
      <c r="N286" s="1"/>
    </row>
    <row r="287" spans="1:14" ht="12.75" customHeight="1">
      <c r="A287" s="46"/>
      <c r="B287" s="49">
        <v>801</v>
      </c>
      <c r="C287" s="49">
        <v>80101</v>
      </c>
      <c r="D287" s="50" t="s">
        <v>132</v>
      </c>
      <c r="E287" s="37" t="s">
        <v>87</v>
      </c>
      <c r="F287" s="40" t="s">
        <v>93</v>
      </c>
      <c r="G287" s="43">
        <f>SUM(I287:N287)</f>
        <v>800000</v>
      </c>
      <c r="H287" s="4" t="s">
        <v>15</v>
      </c>
      <c r="I287" s="1">
        <f aca="true" t="shared" si="75" ref="I287:N287">SUM(I288:I290)</f>
        <v>30000</v>
      </c>
      <c r="J287" s="1">
        <f t="shared" si="75"/>
        <v>770000</v>
      </c>
      <c r="K287" s="1">
        <f t="shared" si="75"/>
        <v>0</v>
      </c>
      <c r="L287" s="1">
        <f t="shared" si="75"/>
        <v>0</v>
      </c>
      <c r="M287" s="1">
        <f t="shared" si="75"/>
        <v>0</v>
      </c>
      <c r="N287" s="1">
        <f t="shared" si="75"/>
        <v>0</v>
      </c>
    </row>
    <row r="288" spans="1:14" ht="22.5" customHeight="1">
      <c r="A288" s="47"/>
      <c r="B288" s="44"/>
      <c r="C288" s="44"/>
      <c r="D288" s="51"/>
      <c r="E288" s="38"/>
      <c r="F288" s="41"/>
      <c r="G288" s="44"/>
      <c r="H288" s="3" t="s">
        <v>16</v>
      </c>
      <c r="I288" s="1">
        <v>30000</v>
      </c>
      <c r="J288" s="1">
        <v>90000</v>
      </c>
      <c r="K288" s="1"/>
      <c r="L288" s="1"/>
      <c r="M288" s="1"/>
      <c r="N288" s="1"/>
    </row>
    <row r="289" spans="1:14" ht="36" customHeight="1">
      <c r="A289" s="47"/>
      <c r="B289" s="44"/>
      <c r="C289" s="44"/>
      <c r="D289" s="51"/>
      <c r="E289" s="38"/>
      <c r="F289" s="41"/>
      <c r="G289" s="44"/>
      <c r="H289" s="5" t="s">
        <v>17</v>
      </c>
      <c r="I289" s="1"/>
      <c r="J289" s="1"/>
      <c r="K289" s="1"/>
      <c r="L289" s="1"/>
      <c r="M289" s="1"/>
      <c r="N289" s="1"/>
    </row>
    <row r="290" spans="1:14" ht="12.75" customHeight="1">
      <c r="A290" s="48"/>
      <c r="B290" s="45"/>
      <c r="C290" s="45"/>
      <c r="D290" s="52"/>
      <c r="E290" s="39"/>
      <c r="F290" s="42"/>
      <c r="G290" s="45"/>
      <c r="H290" s="3" t="s">
        <v>18</v>
      </c>
      <c r="I290" s="1"/>
      <c r="J290" s="1">
        <v>680000</v>
      </c>
      <c r="K290" s="1"/>
      <c r="L290" s="1"/>
      <c r="M290" s="1"/>
      <c r="N290" s="1"/>
    </row>
    <row r="291" spans="1:14" ht="12.75" customHeight="1">
      <c r="A291" s="46"/>
      <c r="B291" s="49">
        <v>801</v>
      </c>
      <c r="C291" s="49">
        <v>80101</v>
      </c>
      <c r="D291" s="50" t="s">
        <v>134</v>
      </c>
      <c r="E291" s="37" t="s">
        <v>87</v>
      </c>
      <c r="F291" s="40" t="s">
        <v>93</v>
      </c>
      <c r="G291" s="43">
        <f>SUM(I291:N291)</f>
        <v>1200000</v>
      </c>
      <c r="H291" s="4" t="s">
        <v>15</v>
      </c>
      <c r="I291" s="1">
        <f aca="true" t="shared" si="76" ref="I291:N291">SUM(I292:I294)</f>
        <v>30000</v>
      </c>
      <c r="J291" s="1">
        <f t="shared" si="76"/>
        <v>1170000</v>
      </c>
      <c r="K291" s="1">
        <f t="shared" si="76"/>
        <v>0</v>
      </c>
      <c r="L291" s="1">
        <f t="shared" si="76"/>
        <v>0</v>
      </c>
      <c r="M291" s="1">
        <f t="shared" si="76"/>
        <v>0</v>
      </c>
      <c r="N291" s="1">
        <f t="shared" si="76"/>
        <v>0</v>
      </c>
    </row>
    <row r="292" spans="1:14" ht="22.5" customHeight="1">
      <c r="A292" s="47"/>
      <c r="B292" s="44"/>
      <c r="C292" s="44"/>
      <c r="D292" s="51"/>
      <c r="E292" s="38"/>
      <c r="F292" s="41"/>
      <c r="G292" s="44"/>
      <c r="H292" s="3" t="s">
        <v>16</v>
      </c>
      <c r="I292" s="1">
        <v>30000</v>
      </c>
      <c r="J292" s="1">
        <v>150000</v>
      </c>
      <c r="K292" s="1"/>
      <c r="L292" s="1"/>
      <c r="M292" s="1"/>
      <c r="N292" s="1"/>
    </row>
    <row r="293" spans="1:14" ht="36" customHeight="1">
      <c r="A293" s="47"/>
      <c r="B293" s="44"/>
      <c r="C293" s="44"/>
      <c r="D293" s="51"/>
      <c r="E293" s="38"/>
      <c r="F293" s="41"/>
      <c r="G293" s="44"/>
      <c r="H293" s="5" t="s">
        <v>17</v>
      </c>
      <c r="I293" s="1"/>
      <c r="J293" s="1"/>
      <c r="K293" s="1"/>
      <c r="L293" s="1"/>
      <c r="M293" s="1"/>
      <c r="N293" s="1"/>
    </row>
    <row r="294" spans="1:14" ht="12.75" customHeight="1">
      <c r="A294" s="48"/>
      <c r="B294" s="45"/>
      <c r="C294" s="45"/>
      <c r="D294" s="52"/>
      <c r="E294" s="39"/>
      <c r="F294" s="42"/>
      <c r="G294" s="45"/>
      <c r="H294" s="3" t="s">
        <v>18</v>
      </c>
      <c r="I294" s="1"/>
      <c r="J294" s="1">
        <v>1020000</v>
      </c>
      <c r="K294" s="1"/>
      <c r="L294" s="1"/>
      <c r="M294" s="1"/>
      <c r="N294" s="1"/>
    </row>
    <row r="295" spans="1:14" ht="12.75" customHeight="1">
      <c r="A295" s="46"/>
      <c r="B295" s="49">
        <v>801</v>
      </c>
      <c r="C295" s="49">
        <v>80101</v>
      </c>
      <c r="D295" s="50" t="s">
        <v>133</v>
      </c>
      <c r="E295" s="37" t="s">
        <v>87</v>
      </c>
      <c r="F295" s="40" t="s">
        <v>93</v>
      </c>
      <c r="G295" s="43">
        <f>SUM(I295:N295)</f>
        <v>1200000</v>
      </c>
      <c r="H295" s="4" t="s">
        <v>15</v>
      </c>
      <c r="I295" s="1">
        <f aca="true" t="shared" si="77" ref="I295:N295">SUM(I296:I298)</f>
        <v>30000</v>
      </c>
      <c r="J295" s="1">
        <f t="shared" si="77"/>
        <v>1170000</v>
      </c>
      <c r="K295" s="1">
        <f t="shared" si="77"/>
        <v>0</v>
      </c>
      <c r="L295" s="1">
        <f t="shared" si="77"/>
        <v>0</v>
      </c>
      <c r="M295" s="1">
        <f t="shared" si="77"/>
        <v>0</v>
      </c>
      <c r="N295" s="1">
        <f t="shared" si="77"/>
        <v>0</v>
      </c>
    </row>
    <row r="296" spans="1:14" ht="22.5" customHeight="1">
      <c r="A296" s="47"/>
      <c r="B296" s="44"/>
      <c r="C296" s="44"/>
      <c r="D296" s="51"/>
      <c r="E296" s="38"/>
      <c r="F296" s="41"/>
      <c r="G296" s="44"/>
      <c r="H296" s="3" t="s">
        <v>16</v>
      </c>
      <c r="I296" s="1">
        <v>30000</v>
      </c>
      <c r="J296" s="1">
        <v>150000</v>
      </c>
      <c r="K296" s="1"/>
      <c r="L296" s="1"/>
      <c r="M296" s="1"/>
      <c r="N296" s="1"/>
    </row>
    <row r="297" spans="1:14" ht="36" customHeight="1">
      <c r="A297" s="47"/>
      <c r="B297" s="44"/>
      <c r="C297" s="44"/>
      <c r="D297" s="51"/>
      <c r="E297" s="38"/>
      <c r="F297" s="41"/>
      <c r="G297" s="44"/>
      <c r="H297" s="5" t="s">
        <v>17</v>
      </c>
      <c r="I297" s="1"/>
      <c r="J297" s="1"/>
      <c r="K297" s="1"/>
      <c r="L297" s="1"/>
      <c r="M297" s="1"/>
      <c r="N297" s="1"/>
    </row>
    <row r="298" spans="1:14" ht="12.75" customHeight="1">
      <c r="A298" s="48"/>
      <c r="B298" s="45"/>
      <c r="C298" s="45"/>
      <c r="D298" s="52"/>
      <c r="E298" s="39"/>
      <c r="F298" s="42"/>
      <c r="G298" s="45"/>
      <c r="H298" s="3" t="s">
        <v>18</v>
      </c>
      <c r="I298" s="1"/>
      <c r="J298" s="1">
        <v>1020000</v>
      </c>
      <c r="K298" s="1"/>
      <c r="L298" s="1"/>
      <c r="M298" s="1"/>
      <c r="N298" s="1"/>
    </row>
    <row r="299" spans="1:14" ht="22.5" customHeight="1">
      <c r="A299" s="46">
        <v>36</v>
      </c>
      <c r="B299" s="49">
        <v>801</v>
      </c>
      <c r="C299" s="49">
        <v>80101</v>
      </c>
      <c r="D299" s="31" t="s">
        <v>68</v>
      </c>
      <c r="E299" s="37" t="s">
        <v>87</v>
      </c>
      <c r="F299" s="49" t="s">
        <v>95</v>
      </c>
      <c r="G299" s="43">
        <f>SUM(I299:N299)</f>
        <v>11156766</v>
      </c>
      <c r="H299" s="4" t="s">
        <v>15</v>
      </c>
      <c r="I299" s="1">
        <f aca="true" t="shared" si="78" ref="I299:N299">SUM(I300:I302)</f>
        <v>156766</v>
      </c>
      <c r="J299" s="1">
        <f t="shared" si="78"/>
        <v>5500000</v>
      </c>
      <c r="K299" s="1">
        <f t="shared" si="78"/>
        <v>3500000</v>
      </c>
      <c r="L299" s="1">
        <f t="shared" si="78"/>
        <v>2000000</v>
      </c>
      <c r="M299" s="1">
        <f t="shared" si="78"/>
        <v>0</v>
      </c>
      <c r="N299" s="1">
        <f t="shared" si="78"/>
        <v>0</v>
      </c>
    </row>
    <row r="300" spans="1:14" ht="12.75" customHeight="1">
      <c r="A300" s="47"/>
      <c r="B300" s="44"/>
      <c r="C300" s="44"/>
      <c r="D300" s="32"/>
      <c r="E300" s="38"/>
      <c r="F300" s="44"/>
      <c r="G300" s="44"/>
      <c r="H300" s="3" t="s">
        <v>16</v>
      </c>
      <c r="I300" s="1">
        <f>496340-289574-50000</f>
        <v>156766</v>
      </c>
      <c r="J300" s="1">
        <v>5500000</v>
      </c>
      <c r="K300" s="1">
        <v>3500000</v>
      </c>
      <c r="L300" s="1">
        <v>2000000</v>
      </c>
      <c r="M300" s="1"/>
      <c r="N300" s="1"/>
    </row>
    <row r="301" spans="1:14" ht="36" customHeight="1">
      <c r="A301" s="47"/>
      <c r="B301" s="44"/>
      <c r="C301" s="44"/>
      <c r="D301" s="32"/>
      <c r="E301" s="38"/>
      <c r="F301" s="44"/>
      <c r="G301" s="44"/>
      <c r="H301" s="5" t="s">
        <v>17</v>
      </c>
      <c r="I301" s="1"/>
      <c r="J301" s="1"/>
      <c r="K301" s="1"/>
      <c r="L301" s="1"/>
      <c r="M301" s="1"/>
      <c r="N301" s="1"/>
    </row>
    <row r="302" spans="1:14" ht="12.75" customHeight="1">
      <c r="A302" s="48"/>
      <c r="B302" s="45"/>
      <c r="C302" s="45"/>
      <c r="D302" s="33"/>
      <c r="E302" s="39"/>
      <c r="F302" s="45"/>
      <c r="G302" s="45"/>
      <c r="H302" s="3" t="s">
        <v>18</v>
      </c>
      <c r="I302" s="1"/>
      <c r="J302" s="1"/>
      <c r="K302" s="1"/>
      <c r="L302" s="1"/>
      <c r="M302" s="1"/>
      <c r="N302" s="1"/>
    </row>
    <row r="303" spans="1:14" ht="12.75" customHeight="1">
      <c r="A303" s="46">
        <v>37</v>
      </c>
      <c r="B303" s="49">
        <v>801</v>
      </c>
      <c r="C303" s="49">
        <v>80101</v>
      </c>
      <c r="D303" s="31" t="s">
        <v>114</v>
      </c>
      <c r="E303" s="37" t="s">
        <v>87</v>
      </c>
      <c r="F303" s="49">
        <v>2008</v>
      </c>
      <c r="G303" s="43">
        <f>SUM(I303:N303)</f>
        <v>25177</v>
      </c>
      <c r="H303" s="4" t="s">
        <v>15</v>
      </c>
      <c r="I303" s="1">
        <f>SUM(I304:I306)</f>
        <v>25177</v>
      </c>
      <c r="J303" s="1"/>
      <c r="K303" s="1"/>
      <c r="L303" s="1"/>
      <c r="M303" s="1"/>
      <c r="N303" s="1"/>
    </row>
    <row r="304" spans="1:14" ht="12.75" customHeight="1">
      <c r="A304" s="47"/>
      <c r="B304" s="44"/>
      <c r="C304" s="44"/>
      <c r="D304" s="32"/>
      <c r="E304" s="38"/>
      <c r="F304" s="44"/>
      <c r="G304" s="44"/>
      <c r="H304" s="5" t="s">
        <v>16</v>
      </c>
      <c r="I304" s="1">
        <v>25177</v>
      </c>
      <c r="J304" s="1"/>
      <c r="K304" s="1"/>
      <c r="L304" s="1"/>
      <c r="M304" s="1"/>
      <c r="N304" s="1"/>
    </row>
    <row r="305" spans="1:14" ht="20.25" customHeight="1">
      <c r="A305" s="47"/>
      <c r="B305" s="44"/>
      <c r="C305" s="44"/>
      <c r="D305" s="32"/>
      <c r="E305" s="38"/>
      <c r="F305" s="44"/>
      <c r="G305" s="44"/>
      <c r="H305" s="5" t="s">
        <v>17</v>
      </c>
      <c r="I305" s="1"/>
      <c r="J305" s="1"/>
      <c r="K305" s="1"/>
      <c r="L305" s="1"/>
      <c r="M305" s="1"/>
      <c r="N305" s="1"/>
    </row>
    <row r="306" spans="1:14" ht="12.75" customHeight="1">
      <c r="A306" s="48"/>
      <c r="B306" s="45"/>
      <c r="C306" s="45"/>
      <c r="D306" s="33"/>
      <c r="E306" s="39"/>
      <c r="F306" s="45"/>
      <c r="G306" s="45"/>
      <c r="H306" s="5" t="s">
        <v>18</v>
      </c>
      <c r="I306" s="1"/>
      <c r="J306" s="1"/>
      <c r="K306" s="1"/>
      <c r="L306" s="1"/>
      <c r="M306" s="1"/>
      <c r="N306" s="1"/>
    </row>
    <row r="307" spans="1:14" ht="12.75" customHeight="1">
      <c r="A307" s="46">
        <v>38</v>
      </c>
      <c r="B307" s="49">
        <v>801</v>
      </c>
      <c r="C307" s="49">
        <v>80101</v>
      </c>
      <c r="D307" s="31" t="s">
        <v>137</v>
      </c>
      <c r="E307" s="37" t="s">
        <v>87</v>
      </c>
      <c r="F307" s="40">
        <v>2008</v>
      </c>
      <c r="G307" s="43">
        <f>SUM(I307:N307)</f>
        <v>1666000</v>
      </c>
      <c r="H307" s="4" t="s">
        <v>15</v>
      </c>
      <c r="I307" s="1">
        <f aca="true" t="shared" si="79" ref="I307:N307">SUM(I308:I310)</f>
        <v>1666000</v>
      </c>
      <c r="J307" s="1">
        <f t="shared" si="79"/>
        <v>0</v>
      </c>
      <c r="K307" s="1">
        <f t="shared" si="79"/>
        <v>0</v>
      </c>
      <c r="L307" s="1">
        <f t="shared" si="79"/>
        <v>0</v>
      </c>
      <c r="M307" s="1">
        <f t="shared" si="79"/>
        <v>0</v>
      </c>
      <c r="N307" s="1">
        <f t="shared" si="79"/>
        <v>0</v>
      </c>
    </row>
    <row r="308" spans="1:14" ht="12.75" customHeight="1">
      <c r="A308" s="47"/>
      <c r="B308" s="44"/>
      <c r="C308" s="44"/>
      <c r="D308" s="32"/>
      <c r="E308" s="38"/>
      <c r="F308" s="41"/>
      <c r="G308" s="44"/>
      <c r="H308" s="3" t="s">
        <v>16</v>
      </c>
      <c r="I308" s="1">
        <f>1000000+666000</f>
        <v>1666000</v>
      </c>
      <c r="J308" s="1"/>
      <c r="K308" s="1"/>
      <c r="L308" s="1"/>
      <c r="M308" s="1"/>
      <c r="N308" s="1"/>
    </row>
    <row r="309" spans="1:14" ht="36" customHeight="1">
      <c r="A309" s="47"/>
      <c r="B309" s="44"/>
      <c r="C309" s="44"/>
      <c r="D309" s="32"/>
      <c r="E309" s="38"/>
      <c r="F309" s="41"/>
      <c r="G309" s="44"/>
      <c r="H309" s="5" t="s">
        <v>17</v>
      </c>
      <c r="I309" s="1"/>
      <c r="J309" s="1"/>
      <c r="K309" s="1"/>
      <c r="L309" s="1"/>
      <c r="M309" s="1"/>
      <c r="N309" s="1"/>
    </row>
    <row r="310" spans="1:14" ht="12.75" customHeight="1">
      <c r="A310" s="48"/>
      <c r="B310" s="45"/>
      <c r="C310" s="45"/>
      <c r="D310" s="33"/>
      <c r="E310" s="39"/>
      <c r="F310" s="42"/>
      <c r="G310" s="45"/>
      <c r="H310" s="3" t="s">
        <v>18</v>
      </c>
      <c r="I310" s="1"/>
      <c r="J310" s="1"/>
      <c r="K310" s="1"/>
      <c r="L310" s="1"/>
      <c r="M310" s="1"/>
      <c r="N310" s="1"/>
    </row>
    <row r="311" spans="1:14" ht="12.75" customHeight="1">
      <c r="A311" s="46">
        <v>39</v>
      </c>
      <c r="B311" s="49">
        <v>801</v>
      </c>
      <c r="C311" s="49">
        <v>80101</v>
      </c>
      <c r="D311" s="31" t="s">
        <v>69</v>
      </c>
      <c r="E311" s="37" t="s">
        <v>87</v>
      </c>
      <c r="F311" s="49" t="s">
        <v>94</v>
      </c>
      <c r="G311" s="43">
        <f>SUM(I311:N311)</f>
        <v>2100000</v>
      </c>
      <c r="H311" s="4" t="s">
        <v>15</v>
      </c>
      <c r="I311" s="1">
        <f aca="true" t="shared" si="80" ref="I311:N311">SUM(I312:I314)</f>
        <v>0</v>
      </c>
      <c r="J311" s="1">
        <f t="shared" si="80"/>
        <v>40000</v>
      </c>
      <c r="K311" s="1">
        <f t="shared" si="80"/>
        <v>2060000</v>
      </c>
      <c r="L311" s="1">
        <f t="shared" si="80"/>
        <v>0</v>
      </c>
      <c r="M311" s="1">
        <f t="shared" si="80"/>
        <v>0</v>
      </c>
      <c r="N311" s="1">
        <f t="shared" si="80"/>
        <v>0</v>
      </c>
    </row>
    <row r="312" spans="1:14" ht="12.75" customHeight="1">
      <c r="A312" s="47"/>
      <c r="B312" s="44"/>
      <c r="C312" s="44"/>
      <c r="D312" s="32"/>
      <c r="E312" s="38"/>
      <c r="F312" s="44"/>
      <c r="G312" s="44"/>
      <c r="H312" s="3" t="s">
        <v>16</v>
      </c>
      <c r="I312" s="1"/>
      <c r="J312" s="1">
        <v>40000</v>
      </c>
      <c r="K312" s="1">
        <v>2060000</v>
      </c>
      <c r="L312" s="1"/>
      <c r="M312" s="1"/>
      <c r="N312" s="1"/>
    </row>
    <row r="313" spans="1:14" ht="36" customHeight="1">
      <c r="A313" s="47"/>
      <c r="B313" s="44"/>
      <c r="C313" s="44"/>
      <c r="D313" s="32"/>
      <c r="E313" s="38"/>
      <c r="F313" s="44"/>
      <c r="G313" s="44"/>
      <c r="H313" s="5" t="s">
        <v>17</v>
      </c>
      <c r="I313" s="1"/>
      <c r="J313" s="1"/>
      <c r="K313" s="1"/>
      <c r="L313" s="1"/>
      <c r="M313" s="1"/>
      <c r="N313" s="1"/>
    </row>
    <row r="314" spans="1:14" ht="12.75" customHeight="1">
      <c r="A314" s="48"/>
      <c r="B314" s="45"/>
      <c r="C314" s="45"/>
      <c r="D314" s="33"/>
      <c r="E314" s="39"/>
      <c r="F314" s="45"/>
      <c r="G314" s="45"/>
      <c r="H314" s="3" t="s">
        <v>18</v>
      </c>
      <c r="I314" s="1"/>
      <c r="J314" s="1"/>
      <c r="K314" s="1"/>
      <c r="L314" s="1"/>
      <c r="M314" s="1"/>
      <c r="N314" s="1"/>
    </row>
    <row r="315" spans="1:14" ht="12.75" customHeight="1">
      <c r="A315" s="46">
        <v>40</v>
      </c>
      <c r="B315" s="49">
        <v>801</v>
      </c>
      <c r="C315" s="49">
        <v>80110</v>
      </c>
      <c r="D315" s="31" t="s">
        <v>70</v>
      </c>
      <c r="E315" s="37" t="s">
        <v>87</v>
      </c>
      <c r="F315" s="40" t="s">
        <v>93</v>
      </c>
      <c r="G315" s="43">
        <f>SUM(I315:N315)</f>
        <v>2530000</v>
      </c>
      <c r="H315" s="4" t="s">
        <v>15</v>
      </c>
      <c r="I315" s="1">
        <f aca="true" t="shared" si="81" ref="I315:N315">SUM(I316:I318)</f>
        <v>1180000</v>
      </c>
      <c r="J315" s="1">
        <f t="shared" si="81"/>
        <v>1350000</v>
      </c>
      <c r="K315" s="1">
        <f t="shared" si="81"/>
        <v>0</v>
      </c>
      <c r="L315" s="1">
        <f t="shared" si="81"/>
        <v>0</v>
      </c>
      <c r="M315" s="1">
        <f t="shared" si="81"/>
        <v>0</v>
      </c>
      <c r="N315" s="1">
        <f t="shared" si="81"/>
        <v>0</v>
      </c>
    </row>
    <row r="316" spans="1:14" ht="12.75" customHeight="1">
      <c r="A316" s="47"/>
      <c r="B316" s="44"/>
      <c r="C316" s="44"/>
      <c r="D316" s="32"/>
      <c r="E316" s="38"/>
      <c r="F316" s="41"/>
      <c r="G316" s="44"/>
      <c r="H316" s="3" t="s">
        <v>16</v>
      </c>
      <c r="I316" s="1">
        <f>1700000-520000</f>
        <v>1180000</v>
      </c>
      <c r="J316" s="1">
        <v>1350000</v>
      </c>
      <c r="K316" s="1"/>
      <c r="L316" s="1"/>
      <c r="M316" s="1"/>
      <c r="N316" s="1"/>
    </row>
    <row r="317" spans="1:14" ht="36" customHeight="1">
      <c r="A317" s="47"/>
      <c r="B317" s="44"/>
      <c r="C317" s="44"/>
      <c r="D317" s="32"/>
      <c r="E317" s="38"/>
      <c r="F317" s="41"/>
      <c r="G317" s="44"/>
      <c r="H317" s="5" t="s">
        <v>17</v>
      </c>
      <c r="I317" s="1"/>
      <c r="J317" s="1"/>
      <c r="K317" s="1"/>
      <c r="L317" s="1"/>
      <c r="M317" s="1"/>
      <c r="N317" s="1"/>
    </row>
    <row r="318" spans="1:14" ht="12.75" customHeight="1">
      <c r="A318" s="48"/>
      <c r="B318" s="45"/>
      <c r="C318" s="45"/>
      <c r="D318" s="33"/>
      <c r="E318" s="39"/>
      <c r="F318" s="42"/>
      <c r="G318" s="45"/>
      <c r="H318" s="3" t="s">
        <v>18</v>
      </c>
      <c r="I318" s="1"/>
      <c r="J318" s="1"/>
      <c r="K318" s="1"/>
      <c r="L318" s="1"/>
      <c r="M318" s="1"/>
      <c r="N318" s="1"/>
    </row>
    <row r="319" spans="1:14" ht="12.75" customHeight="1">
      <c r="A319" s="46">
        <v>41</v>
      </c>
      <c r="B319" s="49">
        <v>851</v>
      </c>
      <c r="C319" s="49">
        <v>85154</v>
      </c>
      <c r="D319" s="31" t="s">
        <v>137</v>
      </c>
      <c r="E319" s="37" t="s">
        <v>87</v>
      </c>
      <c r="F319" s="40">
        <v>2008</v>
      </c>
      <c r="G319" s="43">
        <f>SUM(I319:N319)</f>
        <v>30000</v>
      </c>
      <c r="H319" s="4" t="s">
        <v>15</v>
      </c>
      <c r="I319" s="1">
        <f aca="true" t="shared" si="82" ref="I319:N319">SUM(I320:I322)</f>
        <v>30000</v>
      </c>
      <c r="J319" s="1">
        <f t="shared" si="82"/>
        <v>0</v>
      </c>
      <c r="K319" s="1">
        <f t="shared" si="82"/>
        <v>0</v>
      </c>
      <c r="L319" s="1">
        <f t="shared" si="82"/>
        <v>0</v>
      </c>
      <c r="M319" s="1">
        <f t="shared" si="82"/>
        <v>0</v>
      </c>
      <c r="N319" s="1">
        <f t="shared" si="82"/>
        <v>0</v>
      </c>
    </row>
    <row r="320" spans="1:14" ht="12.75" customHeight="1">
      <c r="A320" s="47"/>
      <c r="B320" s="44"/>
      <c r="C320" s="44"/>
      <c r="D320" s="32"/>
      <c r="E320" s="38"/>
      <c r="F320" s="41"/>
      <c r="G320" s="44"/>
      <c r="H320" s="3" t="s">
        <v>16</v>
      </c>
      <c r="I320" s="1">
        <f>30000</f>
        <v>30000</v>
      </c>
      <c r="J320" s="1"/>
      <c r="K320" s="1"/>
      <c r="L320" s="1"/>
      <c r="M320" s="1"/>
      <c r="N320" s="1"/>
    </row>
    <row r="321" spans="1:14" ht="12.75" customHeight="1">
      <c r="A321" s="47"/>
      <c r="B321" s="44"/>
      <c r="C321" s="44"/>
      <c r="D321" s="32"/>
      <c r="E321" s="38"/>
      <c r="F321" s="41"/>
      <c r="G321" s="44"/>
      <c r="H321" s="5" t="s">
        <v>17</v>
      </c>
      <c r="I321" s="1"/>
      <c r="J321" s="1"/>
      <c r="K321" s="1"/>
      <c r="L321" s="1"/>
      <c r="M321" s="1"/>
      <c r="N321" s="1"/>
    </row>
    <row r="322" spans="1:14" ht="12.75" customHeight="1">
      <c r="A322" s="48"/>
      <c r="B322" s="45"/>
      <c r="C322" s="45"/>
      <c r="D322" s="33"/>
      <c r="E322" s="39"/>
      <c r="F322" s="42"/>
      <c r="G322" s="45"/>
      <c r="H322" s="3" t="s">
        <v>18</v>
      </c>
      <c r="I322" s="1"/>
      <c r="J322" s="1"/>
      <c r="K322" s="1"/>
      <c r="L322" s="1"/>
      <c r="M322" s="1"/>
      <c r="N322" s="1"/>
    </row>
    <row r="323" spans="1:14" ht="12.75" customHeight="1">
      <c r="A323" s="46">
        <v>42</v>
      </c>
      <c r="B323" s="49">
        <v>851</v>
      </c>
      <c r="C323" s="49">
        <v>85154</v>
      </c>
      <c r="D323" s="31" t="s">
        <v>70</v>
      </c>
      <c r="E323" s="37" t="s">
        <v>87</v>
      </c>
      <c r="F323" s="40">
        <v>2008</v>
      </c>
      <c r="G323" s="43">
        <f>SUM(I323:N323)</f>
        <v>470000</v>
      </c>
      <c r="H323" s="4" t="s">
        <v>15</v>
      </c>
      <c r="I323" s="1">
        <f aca="true" t="shared" si="83" ref="I323:N323">SUM(I324:I326)</f>
        <v>470000</v>
      </c>
      <c r="J323" s="1">
        <f t="shared" si="83"/>
        <v>0</v>
      </c>
      <c r="K323" s="1">
        <f t="shared" si="83"/>
        <v>0</v>
      </c>
      <c r="L323" s="1">
        <f t="shared" si="83"/>
        <v>0</v>
      </c>
      <c r="M323" s="1">
        <f t="shared" si="83"/>
        <v>0</v>
      </c>
      <c r="N323" s="1">
        <f t="shared" si="83"/>
        <v>0</v>
      </c>
    </row>
    <row r="324" spans="1:14" ht="12.75" customHeight="1">
      <c r="A324" s="47"/>
      <c r="B324" s="44"/>
      <c r="C324" s="44"/>
      <c r="D324" s="32"/>
      <c r="E324" s="38"/>
      <c r="F324" s="41"/>
      <c r="G324" s="44"/>
      <c r="H324" s="3" t="s">
        <v>16</v>
      </c>
      <c r="I324" s="1">
        <v>470000</v>
      </c>
      <c r="J324" s="1"/>
      <c r="K324" s="1"/>
      <c r="L324" s="1"/>
      <c r="M324" s="1"/>
      <c r="N324" s="1"/>
    </row>
    <row r="325" spans="1:14" ht="36" customHeight="1">
      <c r="A325" s="47"/>
      <c r="B325" s="44"/>
      <c r="C325" s="44"/>
      <c r="D325" s="32"/>
      <c r="E325" s="38"/>
      <c r="F325" s="41"/>
      <c r="G325" s="44"/>
      <c r="H325" s="5" t="s">
        <v>17</v>
      </c>
      <c r="I325" s="1"/>
      <c r="J325" s="1"/>
      <c r="K325" s="1"/>
      <c r="L325" s="1"/>
      <c r="M325" s="1"/>
      <c r="N325" s="1"/>
    </row>
    <row r="326" spans="1:14" ht="12.75" customHeight="1">
      <c r="A326" s="48"/>
      <c r="B326" s="45"/>
      <c r="C326" s="45"/>
      <c r="D326" s="33"/>
      <c r="E326" s="39"/>
      <c r="F326" s="42"/>
      <c r="G326" s="45"/>
      <c r="H326" s="3" t="s">
        <v>18</v>
      </c>
      <c r="I326" s="1"/>
      <c r="J326" s="1"/>
      <c r="K326" s="1"/>
      <c r="L326" s="1"/>
      <c r="M326" s="1"/>
      <c r="N326" s="1"/>
    </row>
    <row r="327" spans="1:14" ht="12.75" customHeight="1">
      <c r="A327" s="46">
        <v>43</v>
      </c>
      <c r="B327" s="49">
        <v>852</v>
      </c>
      <c r="C327" s="49">
        <v>85295</v>
      </c>
      <c r="D327" s="31" t="s">
        <v>135</v>
      </c>
      <c r="E327" s="37" t="s">
        <v>87</v>
      </c>
      <c r="F327" s="40" t="s">
        <v>136</v>
      </c>
      <c r="G327" s="43">
        <f>SUM(I327:N327)</f>
        <v>3500000</v>
      </c>
      <c r="H327" s="4" t="s">
        <v>15</v>
      </c>
      <c r="I327" s="1">
        <f aca="true" t="shared" si="84" ref="I327:N327">SUM(I328:I330)</f>
        <v>0</v>
      </c>
      <c r="J327" s="1">
        <f t="shared" si="84"/>
        <v>1500000</v>
      </c>
      <c r="K327" s="1">
        <f t="shared" si="84"/>
        <v>2000000</v>
      </c>
      <c r="L327" s="1">
        <f t="shared" si="84"/>
        <v>0</v>
      </c>
      <c r="M327" s="1">
        <f t="shared" si="84"/>
        <v>0</v>
      </c>
      <c r="N327" s="1">
        <f t="shared" si="84"/>
        <v>0</v>
      </c>
    </row>
    <row r="328" spans="1:14" ht="12.75" customHeight="1">
      <c r="A328" s="47"/>
      <c r="B328" s="44"/>
      <c r="C328" s="44"/>
      <c r="D328" s="32"/>
      <c r="E328" s="38"/>
      <c r="F328" s="41"/>
      <c r="G328" s="44"/>
      <c r="H328" s="3" t="s">
        <v>16</v>
      </c>
      <c r="I328" s="1">
        <f>200000-200000</f>
        <v>0</v>
      </c>
      <c r="J328" s="1">
        <v>1500000</v>
      </c>
      <c r="K328" s="1">
        <f>1800000+200000</f>
        <v>2000000</v>
      </c>
      <c r="L328" s="1"/>
      <c r="M328" s="1"/>
      <c r="N328" s="1"/>
    </row>
    <row r="329" spans="1:14" ht="36" customHeight="1">
      <c r="A329" s="47"/>
      <c r="B329" s="44"/>
      <c r="C329" s="44"/>
      <c r="D329" s="32"/>
      <c r="E329" s="38"/>
      <c r="F329" s="41"/>
      <c r="G329" s="44"/>
      <c r="H329" s="5" t="s">
        <v>17</v>
      </c>
      <c r="I329" s="1"/>
      <c r="J329" s="1"/>
      <c r="K329" s="1"/>
      <c r="L329" s="1"/>
      <c r="M329" s="1"/>
      <c r="N329" s="1"/>
    </row>
    <row r="330" spans="1:14" ht="12.75" customHeight="1">
      <c r="A330" s="48"/>
      <c r="B330" s="45"/>
      <c r="C330" s="45"/>
      <c r="D330" s="33"/>
      <c r="E330" s="39"/>
      <c r="F330" s="42"/>
      <c r="G330" s="45"/>
      <c r="H330" s="3" t="s">
        <v>18</v>
      </c>
      <c r="I330" s="1"/>
      <c r="J330" s="1"/>
      <c r="K330" s="1"/>
      <c r="L330" s="1"/>
      <c r="M330" s="1"/>
      <c r="N330" s="1"/>
    </row>
    <row r="331" spans="1:14" ht="22.5" customHeight="1">
      <c r="A331" s="46">
        <v>44</v>
      </c>
      <c r="B331" s="49">
        <v>900</v>
      </c>
      <c r="C331" s="49">
        <v>90003</v>
      </c>
      <c r="D331" s="56" t="s">
        <v>71</v>
      </c>
      <c r="E331" s="37" t="s">
        <v>87</v>
      </c>
      <c r="F331" s="49" t="s">
        <v>99</v>
      </c>
      <c r="G331" s="43">
        <f>SUM(I331:N331)</f>
        <v>3580000</v>
      </c>
      <c r="H331" s="4" t="s">
        <v>15</v>
      </c>
      <c r="I331" s="1">
        <f aca="true" t="shared" si="85" ref="I331:N331">SUM(I332:I334)</f>
        <v>50000</v>
      </c>
      <c r="J331" s="1">
        <f t="shared" si="85"/>
        <v>640000</v>
      </c>
      <c r="K331" s="1">
        <f t="shared" si="85"/>
        <v>640000</v>
      </c>
      <c r="L331" s="1">
        <f t="shared" si="85"/>
        <v>750000</v>
      </c>
      <c r="M331" s="1">
        <f t="shared" si="85"/>
        <v>750000</v>
      </c>
      <c r="N331" s="1">
        <f t="shared" si="85"/>
        <v>750000</v>
      </c>
    </row>
    <row r="332" spans="1:14" ht="12.75" customHeight="1">
      <c r="A332" s="47"/>
      <c r="B332" s="44"/>
      <c r="C332" s="44"/>
      <c r="D332" s="57"/>
      <c r="E332" s="38"/>
      <c r="F332" s="44"/>
      <c r="G332" s="44"/>
      <c r="H332" s="3" t="s">
        <v>16</v>
      </c>
      <c r="I332" s="1">
        <f>100000-50000</f>
        <v>50000</v>
      </c>
      <c r="J332" s="1">
        <v>640000</v>
      </c>
      <c r="K332" s="1">
        <v>640000</v>
      </c>
      <c r="L332" s="1">
        <v>750000</v>
      </c>
      <c r="M332" s="1">
        <v>750000</v>
      </c>
      <c r="N332" s="1">
        <v>750000</v>
      </c>
    </row>
    <row r="333" spans="1:14" ht="36" customHeight="1">
      <c r="A333" s="47"/>
      <c r="B333" s="44"/>
      <c r="C333" s="44"/>
      <c r="D333" s="57"/>
      <c r="E333" s="38"/>
      <c r="F333" s="44"/>
      <c r="G333" s="44"/>
      <c r="H333" s="5" t="s">
        <v>17</v>
      </c>
      <c r="I333" s="1"/>
      <c r="J333" s="1"/>
      <c r="K333" s="1"/>
      <c r="L333" s="1"/>
      <c r="M333" s="1"/>
      <c r="N333" s="1"/>
    </row>
    <row r="334" spans="1:14" ht="12.75" customHeight="1">
      <c r="A334" s="48"/>
      <c r="B334" s="45"/>
      <c r="C334" s="45"/>
      <c r="D334" s="30"/>
      <c r="E334" s="39"/>
      <c r="F334" s="45"/>
      <c r="G334" s="45"/>
      <c r="H334" s="3" t="s">
        <v>18</v>
      </c>
      <c r="I334" s="1"/>
      <c r="J334" s="1"/>
      <c r="K334" s="1"/>
      <c r="L334" s="1"/>
      <c r="M334" s="1"/>
      <c r="N334" s="1"/>
    </row>
    <row r="335" spans="1:14" ht="12.75" customHeight="1">
      <c r="A335" s="46">
        <v>45</v>
      </c>
      <c r="B335" s="49">
        <v>900</v>
      </c>
      <c r="C335" s="49">
        <v>90015</v>
      </c>
      <c r="D335" s="56" t="s">
        <v>142</v>
      </c>
      <c r="E335" s="37" t="s">
        <v>87</v>
      </c>
      <c r="F335" s="40" t="s">
        <v>99</v>
      </c>
      <c r="G335" s="43">
        <f>SUM(I335:N335)</f>
        <v>600000</v>
      </c>
      <c r="H335" s="4" t="s">
        <v>15</v>
      </c>
      <c r="I335" s="1">
        <f aca="true" t="shared" si="86" ref="I335:N335">SUM(I336:I338)</f>
        <v>100000</v>
      </c>
      <c r="J335" s="1">
        <f t="shared" si="86"/>
        <v>100000</v>
      </c>
      <c r="K335" s="1">
        <f t="shared" si="86"/>
        <v>100000</v>
      </c>
      <c r="L335" s="1">
        <f t="shared" si="86"/>
        <v>100000</v>
      </c>
      <c r="M335" s="1">
        <f t="shared" si="86"/>
        <v>100000</v>
      </c>
      <c r="N335" s="1">
        <f t="shared" si="86"/>
        <v>100000</v>
      </c>
    </row>
    <row r="336" spans="1:14" ht="12.75" customHeight="1">
      <c r="A336" s="47"/>
      <c r="B336" s="44"/>
      <c r="C336" s="44"/>
      <c r="D336" s="57"/>
      <c r="E336" s="38"/>
      <c r="F336" s="41"/>
      <c r="G336" s="44"/>
      <c r="H336" s="3" t="s">
        <v>16</v>
      </c>
      <c r="I336" s="1">
        <v>100000</v>
      </c>
      <c r="J336" s="1">
        <v>100000</v>
      </c>
      <c r="K336" s="1">
        <v>100000</v>
      </c>
      <c r="L336" s="1">
        <v>100000</v>
      </c>
      <c r="M336" s="1">
        <v>100000</v>
      </c>
      <c r="N336" s="1">
        <v>100000</v>
      </c>
    </row>
    <row r="337" spans="1:14" ht="36" customHeight="1">
      <c r="A337" s="47"/>
      <c r="B337" s="44"/>
      <c r="C337" s="44"/>
      <c r="D337" s="57"/>
      <c r="E337" s="38"/>
      <c r="F337" s="41"/>
      <c r="G337" s="44"/>
      <c r="H337" s="5" t="s">
        <v>17</v>
      </c>
      <c r="I337" s="1"/>
      <c r="J337" s="1"/>
      <c r="K337" s="1"/>
      <c r="L337" s="1"/>
      <c r="M337" s="1"/>
      <c r="N337" s="1"/>
    </row>
    <row r="338" spans="1:14" ht="12.75" customHeight="1">
      <c r="A338" s="48"/>
      <c r="B338" s="45"/>
      <c r="C338" s="45"/>
      <c r="D338" s="30"/>
      <c r="E338" s="39"/>
      <c r="F338" s="42"/>
      <c r="G338" s="45"/>
      <c r="H338" s="3" t="s">
        <v>18</v>
      </c>
      <c r="I338" s="1"/>
      <c r="J338" s="1"/>
      <c r="K338" s="1"/>
      <c r="L338" s="1"/>
      <c r="M338" s="1"/>
      <c r="N338" s="1"/>
    </row>
    <row r="339" spans="1:14" ht="12.75" customHeight="1">
      <c r="A339" s="46">
        <v>46</v>
      </c>
      <c r="B339" s="49">
        <v>900</v>
      </c>
      <c r="C339" s="49">
        <v>90095</v>
      </c>
      <c r="D339" s="56" t="s">
        <v>72</v>
      </c>
      <c r="E339" s="37" t="s">
        <v>87</v>
      </c>
      <c r="F339" s="49" t="s">
        <v>99</v>
      </c>
      <c r="G339" s="43">
        <f>SUM(I339:N339)</f>
        <v>1250000</v>
      </c>
      <c r="H339" s="4" t="s">
        <v>15</v>
      </c>
      <c r="I339" s="1">
        <f aca="true" t="shared" si="87" ref="I339:N339">SUM(I340:I342)</f>
        <v>0</v>
      </c>
      <c r="J339" s="1">
        <f t="shared" si="87"/>
        <v>250000</v>
      </c>
      <c r="K339" s="1">
        <f t="shared" si="87"/>
        <v>250000</v>
      </c>
      <c r="L339" s="1">
        <f t="shared" si="87"/>
        <v>250000</v>
      </c>
      <c r="M339" s="1">
        <f t="shared" si="87"/>
        <v>250000</v>
      </c>
      <c r="N339" s="1">
        <f t="shared" si="87"/>
        <v>250000</v>
      </c>
    </row>
    <row r="340" spans="1:14" ht="12.75" customHeight="1">
      <c r="A340" s="47"/>
      <c r="B340" s="44"/>
      <c r="C340" s="44"/>
      <c r="D340" s="57"/>
      <c r="E340" s="38"/>
      <c r="F340" s="44"/>
      <c r="G340" s="44"/>
      <c r="H340" s="3" t="s">
        <v>16</v>
      </c>
      <c r="I340" s="1">
        <v>0</v>
      </c>
      <c r="J340" s="1">
        <v>250000</v>
      </c>
      <c r="K340" s="1">
        <v>250000</v>
      </c>
      <c r="L340" s="1">
        <v>250000</v>
      </c>
      <c r="M340" s="1">
        <v>250000</v>
      </c>
      <c r="N340" s="1">
        <v>250000</v>
      </c>
    </row>
    <row r="341" spans="1:14" ht="36" customHeight="1">
      <c r="A341" s="47"/>
      <c r="B341" s="44"/>
      <c r="C341" s="44"/>
      <c r="D341" s="57"/>
      <c r="E341" s="38"/>
      <c r="F341" s="44"/>
      <c r="G341" s="44"/>
      <c r="H341" s="5" t="s">
        <v>17</v>
      </c>
      <c r="I341" s="1"/>
      <c r="J341" s="1"/>
      <c r="K341" s="1"/>
      <c r="L341" s="1"/>
      <c r="M341" s="1"/>
      <c r="N341" s="1"/>
    </row>
    <row r="342" spans="1:14" ht="12.75" customHeight="1">
      <c r="A342" s="48"/>
      <c r="B342" s="45"/>
      <c r="C342" s="45"/>
      <c r="D342" s="30"/>
      <c r="E342" s="39"/>
      <c r="F342" s="45"/>
      <c r="G342" s="45"/>
      <c r="H342" s="3" t="s">
        <v>18</v>
      </c>
      <c r="I342" s="1"/>
      <c r="J342" s="1"/>
      <c r="K342" s="1"/>
      <c r="L342" s="1"/>
      <c r="M342" s="1"/>
      <c r="N342" s="1"/>
    </row>
    <row r="343" spans="1:14" ht="12.75" customHeight="1">
      <c r="A343" s="46">
        <v>47</v>
      </c>
      <c r="B343" s="49">
        <v>900</v>
      </c>
      <c r="C343" s="49">
        <v>90095</v>
      </c>
      <c r="D343" s="56" t="s">
        <v>124</v>
      </c>
      <c r="E343" s="37" t="s">
        <v>91</v>
      </c>
      <c r="F343" s="40" t="s">
        <v>95</v>
      </c>
      <c r="G343" s="43">
        <f>SUM(I343:N343)</f>
        <v>8056000</v>
      </c>
      <c r="H343" s="4" t="s">
        <v>15</v>
      </c>
      <c r="I343" s="1">
        <f aca="true" t="shared" si="88" ref="I343:N343">SUM(I344:I346)</f>
        <v>90000</v>
      </c>
      <c r="J343" s="1">
        <f t="shared" si="88"/>
        <v>3000000</v>
      </c>
      <c r="K343" s="1">
        <f t="shared" si="88"/>
        <v>4000000</v>
      </c>
      <c r="L343" s="1">
        <f t="shared" si="88"/>
        <v>966000</v>
      </c>
      <c r="M343" s="1">
        <f t="shared" si="88"/>
        <v>0</v>
      </c>
      <c r="N343" s="1">
        <f t="shared" si="88"/>
        <v>0</v>
      </c>
    </row>
    <row r="344" spans="1:14" ht="12.75" customHeight="1">
      <c r="A344" s="47"/>
      <c r="B344" s="44"/>
      <c r="C344" s="44"/>
      <c r="D344" s="57"/>
      <c r="E344" s="38"/>
      <c r="F344" s="41"/>
      <c r="G344" s="44"/>
      <c r="H344" s="3" t="s">
        <v>16</v>
      </c>
      <c r="I344" s="1">
        <f>158400-158400+40000+50000</f>
        <v>90000</v>
      </c>
      <c r="J344" s="1">
        <f>3000000*0.45</f>
        <v>1350000</v>
      </c>
      <c r="K344" s="1">
        <f>4000000*0.45</f>
        <v>1800000</v>
      </c>
      <c r="L344" s="1">
        <f>1016000*0.45-50000</f>
        <v>407200</v>
      </c>
      <c r="M344" s="1"/>
      <c r="N344" s="1"/>
    </row>
    <row r="345" spans="1:14" ht="36" customHeight="1">
      <c r="A345" s="47"/>
      <c r="B345" s="44"/>
      <c r="C345" s="44"/>
      <c r="D345" s="57"/>
      <c r="E345" s="38"/>
      <c r="F345" s="41"/>
      <c r="G345" s="44"/>
      <c r="H345" s="5" t="s">
        <v>17</v>
      </c>
      <c r="I345" s="1"/>
      <c r="J345" s="1"/>
      <c r="K345" s="1"/>
      <c r="L345" s="1"/>
      <c r="M345" s="1"/>
      <c r="N345" s="1"/>
    </row>
    <row r="346" spans="1:14" ht="22.5" customHeight="1">
      <c r="A346" s="48"/>
      <c r="B346" s="45"/>
      <c r="C346" s="45"/>
      <c r="D346" s="30"/>
      <c r="E346" s="39"/>
      <c r="F346" s="42"/>
      <c r="G346" s="45"/>
      <c r="H346" s="3" t="s">
        <v>18</v>
      </c>
      <c r="I346" s="1">
        <f>897600-897600</f>
        <v>0</v>
      </c>
      <c r="J346" s="1">
        <f>3000000*0.55</f>
        <v>1650000.0000000002</v>
      </c>
      <c r="K346" s="1">
        <f>4000000*0.55</f>
        <v>2200000</v>
      </c>
      <c r="L346" s="1">
        <f>1016000*0.55</f>
        <v>558800</v>
      </c>
      <c r="M346" s="1"/>
      <c r="N346" s="1"/>
    </row>
    <row r="347" spans="1:14" ht="12.75" customHeight="1">
      <c r="A347" s="46">
        <v>48</v>
      </c>
      <c r="B347" s="49">
        <v>900</v>
      </c>
      <c r="C347" s="49">
        <v>90095</v>
      </c>
      <c r="D347" s="56" t="s">
        <v>73</v>
      </c>
      <c r="E347" s="37" t="s">
        <v>87</v>
      </c>
      <c r="F347" s="49" t="s">
        <v>99</v>
      </c>
      <c r="G347" s="43">
        <f>SUM(I347:N347)</f>
        <v>1605000</v>
      </c>
      <c r="H347" s="4" t="s">
        <v>15</v>
      </c>
      <c r="I347" s="1">
        <f aca="true" t="shared" si="89" ref="I347:N347">SUM(I348:I350)</f>
        <v>355000</v>
      </c>
      <c r="J347" s="1">
        <f t="shared" si="89"/>
        <v>250000</v>
      </c>
      <c r="K347" s="1">
        <f t="shared" si="89"/>
        <v>250000</v>
      </c>
      <c r="L347" s="1">
        <f t="shared" si="89"/>
        <v>250000</v>
      </c>
      <c r="M347" s="1">
        <f t="shared" si="89"/>
        <v>250000</v>
      </c>
      <c r="N347" s="1">
        <f t="shared" si="89"/>
        <v>250000</v>
      </c>
    </row>
    <row r="348" spans="1:14" ht="12.75" customHeight="1">
      <c r="A348" s="47"/>
      <c r="B348" s="44"/>
      <c r="C348" s="44"/>
      <c r="D348" s="57"/>
      <c r="E348" s="38"/>
      <c r="F348" s="44"/>
      <c r="G348" s="44"/>
      <c r="H348" s="3" t="s">
        <v>16</v>
      </c>
      <c r="I348" s="1">
        <f>250000+200000-165000+70000</f>
        <v>355000</v>
      </c>
      <c r="J348" s="1">
        <v>250000</v>
      </c>
      <c r="K348" s="1">
        <v>250000</v>
      </c>
      <c r="L348" s="1">
        <v>250000</v>
      </c>
      <c r="M348" s="1">
        <v>250000</v>
      </c>
      <c r="N348" s="1">
        <v>250000</v>
      </c>
    </row>
    <row r="349" spans="1:14" ht="36" customHeight="1">
      <c r="A349" s="47"/>
      <c r="B349" s="44"/>
      <c r="C349" s="44"/>
      <c r="D349" s="57"/>
      <c r="E349" s="38"/>
      <c r="F349" s="44"/>
      <c r="G349" s="44"/>
      <c r="H349" s="5" t="s">
        <v>17</v>
      </c>
      <c r="I349" s="1"/>
      <c r="J349" s="1"/>
      <c r="K349" s="1"/>
      <c r="L349" s="1"/>
      <c r="M349" s="1"/>
      <c r="N349" s="1"/>
    </row>
    <row r="350" spans="1:14" ht="12.75" customHeight="1">
      <c r="A350" s="48"/>
      <c r="B350" s="45"/>
      <c r="C350" s="45"/>
      <c r="D350" s="30"/>
      <c r="E350" s="39"/>
      <c r="F350" s="45"/>
      <c r="G350" s="45"/>
      <c r="H350" s="3" t="s">
        <v>18</v>
      </c>
      <c r="I350" s="1"/>
      <c r="J350" s="1"/>
      <c r="K350" s="1"/>
      <c r="L350" s="1"/>
      <c r="M350" s="1"/>
      <c r="N350" s="1"/>
    </row>
    <row r="351" spans="1:14" ht="12.75" customHeight="1">
      <c r="A351" s="46">
        <v>49</v>
      </c>
      <c r="B351" s="49"/>
      <c r="C351" s="49"/>
      <c r="D351" s="56" t="s">
        <v>74</v>
      </c>
      <c r="E351" s="37" t="s">
        <v>87</v>
      </c>
      <c r="F351" s="40" t="s">
        <v>98</v>
      </c>
      <c r="G351" s="43">
        <f>SUM(I351:N351)</f>
        <v>1400000</v>
      </c>
      <c r="H351" s="4" t="s">
        <v>15</v>
      </c>
      <c r="I351" s="1">
        <f aca="true" t="shared" si="90" ref="I351:N351">SUM(I352:I354)</f>
        <v>0</v>
      </c>
      <c r="J351" s="1">
        <f t="shared" si="90"/>
        <v>600000</v>
      </c>
      <c r="K351" s="1">
        <f t="shared" si="90"/>
        <v>680000</v>
      </c>
      <c r="L351" s="1">
        <f t="shared" si="90"/>
        <v>120000</v>
      </c>
      <c r="M351" s="1">
        <f t="shared" si="90"/>
        <v>0</v>
      </c>
      <c r="N351" s="1">
        <f t="shared" si="90"/>
        <v>0</v>
      </c>
    </row>
    <row r="352" spans="1:14" ht="12.75" customHeight="1">
      <c r="A352" s="47"/>
      <c r="B352" s="44"/>
      <c r="C352" s="44"/>
      <c r="D352" s="57"/>
      <c r="E352" s="38"/>
      <c r="F352" s="41"/>
      <c r="G352" s="44"/>
      <c r="H352" s="3" t="s">
        <v>16</v>
      </c>
      <c r="I352" s="1"/>
      <c r="J352" s="1">
        <v>600000</v>
      </c>
      <c r="K352" s="1">
        <v>680000</v>
      </c>
      <c r="L352" s="1">
        <v>120000</v>
      </c>
      <c r="M352" s="1"/>
      <c r="N352" s="1"/>
    </row>
    <row r="353" spans="1:14" ht="36" customHeight="1">
      <c r="A353" s="47"/>
      <c r="B353" s="44"/>
      <c r="C353" s="44"/>
      <c r="D353" s="57"/>
      <c r="E353" s="38"/>
      <c r="F353" s="41"/>
      <c r="G353" s="44"/>
      <c r="H353" s="5" t="s">
        <v>17</v>
      </c>
      <c r="I353" s="1"/>
      <c r="J353" s="1"/>
      <c r="K353" s="1"/>
      <c r="L353" s="1"/>
      <c r="M353" s="1"/>
      <c r="N353" s="1"/>
    </row>
    <row r="354" spans="1:14" ht="12.75" customHeight="1">
      <c r="A354" s="48"/>
      <c r="B354" s="45"/>
      <c r="C354" s="45"/>
      <c r="D354" s="30"/>
      <c r="E354" s="39"/>
      <c r="F354" s="42"/>
      <c r="G354" s="45"/>
      <c r="H354" s="3" t="s">
        <v>18</v>
      </c>
      <c r="I354" s="1"/>
      <c r="J354" s="1"/>
      <c r="K354" s="1"/>
      <c r="L354" s="1"/>
      <c r="M354" s="1"/>
      <c r="N354" s="1"/>
    </row>
    <row r="355" spans="1:14" ht="12.75" customHeight="1">
      <c r="A355" s="46">
        <v>50</v>
      </c>
      <c r="B355" s="49">
        <v>900</v>
      </c>
      <c r="C355" s="49">
        <v>90095</v>
      </c>
      <c r="D355" s="56" t="s">
        <v>125</v>
      </c>
      <c r="E355" s="37" t="s">
        <v>87</v>
      </c>
      <c r="F355" s="49" t="s">
        <v>92</v>
      </c>
      <c r="G355" s="43">
        <f>SUM(I355:N355)</f>
        <v>3550000</v>
      </c>
      <c r="H355" s="4" t="s">
        <v>15</v>
      </c>
      <c r="I355" s="1">
        <f aca="true" t="shared" si="91" ref="I355:N355">SUM(I356:I358)</f>
        <v>550000</v>
      </c>
      <c r="J355" s="1">
        <f t="shared" si="91"/>
        <v>1500000</v>
      </c>
      <c r="K355" s="1">
        <f t="shared" si="91"/>
        <v>1500000</v>
      </c>
      <c r="L355" s="1">
        <f t="shared" si="91"/>
        <v>0</v>
      </c>
      <c r="M355" s="1">
        <f t="shared" si="91"/>
        <v>0</v>
      </c>
      <c r="N355" s="1">
        <f t="shared" si="91"/>
        <v>0</v>
      </c>
    </row>
    <row r="356" spans="1:14" ht="12.75" customHeight="1">
      <c r="A356" s="47"/>
      <c r="B356" s="44"/>
      <c r="C356" s="44"/>
      <c r="D356" s="57"/>
      <c r="E356" s="38"/>
      <c r="F356" s="44"/>
      <c r="G356" s="44"/>
      <c r="H356" s="3" t="s">
        <v>16</v>
      </c>
      <c r="I356" s="1">
        <f>300000+200000-362500</f>
        <v>137500</v>
      </c>
      <c r="J356" s="1">
        <f>1500000*0.25</f>
        <v>375000</v>
      </c>
      <c r="K356" s="1">
        <f>1500000*0.25</f>
        <v>375000</v>
      </c>
      <c r="L356" s="1"/>
      <c r="M356" s="1"/>
      <c r="N356" s="1"/>
    </row>
    <row r="357" spans="1:14" ht="36" customHeight="1">
      <c r="A357" s="47"/>
      <c r="B357" s="44"/>
      <c r="C357" s="44"/>
      <c r="D357" s="57"/>
      <c r="E357" s="38"/>
      <c r="F357" s="44"/>
      <c r="G357" s="44"/>
      <c r="H357" s="5" t="s">
        <v>17</v>
      </c>
      <c r="I357" s="1"/>
      <c r="J357" s="1"/>
      <c r="K357" s="1"/>
      <c r="L357" s="1"/>
      <c r="M357" s="1"/>
      <c r="N357" s="1"/>
    </row>
    <row r="358" spans="1:14" ht="12.75" customHeight="1">
      <c r="A358" s="48"/>
      <c r="B358" s="45"/>
      <c r="C358" s="45"/>
      <c r="D358" s="30"/>
      <c r="E358" s="39"/>
      <c r="F358" s="45"/>
      <c r="G358" s="45"/>
      <c r="H358" s="3" t="s">
        <v>18</v>
      </c>
      <c r="I358" s="1">
        <f>1700000-200000-1087500</f>
        <v>412500</v>
      </c>
      <c r="J358" s="1">
        <f>1275000-125000-25000</f>
        <v>1125000</v>
      </c>
      <c r="K358" s="1">
        <f>1275000-125000-25000</f>
        <v>1125000</v>
      </c>
      <c r="L358" s="1"/>
      <c r="M358" s="1"/>
      <c r="N358" s="1"/>
    </row>
    <row r="359" spans="1:14" ht="12.75" customHeight="1">
      <c r="A359" s="46">
        <v>51</v>
      </c>
      <c r="B359" s="49">
        <v>900</v>
      </c>
      <c r="C359" s="49">
        <v>90095</v>
      </c>
      <c r="D359" s="56" t="s">
        <v>126</v>
      </c>
      <c r="E359" s="37" t="s">
        <v>87</v>
      </c>
      <c r="F359" s="49" t="s">
        <v>99</v>
      </c>
      <c r="G359" s="43">
        <f>SUM(I359:N359)</f>
        <v>14800000</v>
      </c>
      <c r="H359" s="4" t="s">
        <v>15</v>
      </c>
      <c r="I359" s="1">
        <f aca="true" t="shared" si="92" ref="I359:N359">SUM(I360:I362)</f>
        <v>1500000</v>
      </c>
      <c r="J359" s="1">
        <f t="shared" si="92"/>
        <v>3500000</v>
      </c>
      <c r="K359" s="1">
        <f t="shared" si="92"/>
        <v>2500000</v>
      </c>
      <c r="L359" s="1">
        <f t="shared" si="92"/>
        <v>2500000</v>
      </c>
      <c r="M359" s="1">
        <f t="shared" si="92"/>
        <v>2500000</v>
      </c>
      <c r="N359" s="1">
        <f t="shared" si="92"/>
        <v>2300000</v>
      </c>
    </row>
    <row r="360" spans="1:14" ht="12.75" customHeight="1">
      <c r="A360" s="47"/>
      <c r="B360" s="44"/>
      <c r="C360" s="44"/>
      <c r="D360" s="57"/>
      <c r="E360" s="38"/>
      <c r="F360" s="44"/>
      <c r="G360" s="44"/>
      <c r="H360" s="3" t="s">
        <v>16</v>
      </c>
      <c r="I360" s="1">
        <f>375000+875000-500000</f>
        <v>750000</v>
      </c>
      <c r="J360" s="1">
        <f>375000+875000+500000</f>
        <v>1750000</v>
      </c>
      <c r="K360" s="1">
        <f>375000+875000</f>
        <v>1250000</v>
      </c>
      <c r="L360" s="1">
        <f>375000+875000</f>
        <v>1250000</v>
      </c>
      <c r="M360" s="1">
        <f>375000+875000</f>
        <v>1250000</v>
      </c>
      <c r="N360" s="1">
        <v>1150000</v>
      </c>
    </row>
    <row r="361" spans="1:14" ht="36" customHeight="1">
      <c r="A361" s="47"/>
      <c r="B361" s="44"/>
      <c r="C361" s="44"/>
      <c r="D361" s="57"/>
      <c r="E361" s="38"/>
      <c r="F361" s="44"/>
      <c r="G361" s="44"/>
      <c r="H361" s="5" t="s">
        <v>17</v>
      </c>
      <c r="I361" s="1"/>
      <c r="J361" s="1"/>
      <c r="K361" s="1"/>
      <c r="L361" s="1"/>
      <c r="M361" s="1"/>
      <c r="N361" s="1"/>
    </row>
    <row r="362" spans="1:14" ht="12.75" customHeight="1">
      <c r="A362" s="48"/>
      <c r="B362" s="45"/>
      <c r="C362" s="45"/>
      <c r="D362" s="30"/>
      <c r="E362" s="39"/>
      <c r="F362" s="45"/>
      <c r="G362" s="45"/>
      <c r="H362" s="3" t="s">
        <v>18</v>
      </c>
      <c r="I362" s="1">
        <f>2125000-875000-500000</f>
        <v>750000</v>
      </c>
      <c r="J362" s="1">
        <f>2125000-875000+500000</f>
        <v>1750000</v>
      </c>
      <c r="K362" s="1">
        <f>2125000-875000</f>
        <v>1250000</v>
      </c>
      <c r="L362" s="1">
        <f>2125000-875000</f>
        <v>1250000</v>
      </c>
      <c r="M362" s="1">
        <f>2125000-875000</f>
        <v>1250000</v>
      </c>
      <c r="N362" s="1">
        <v>1150000</v>
      </c>
    </row>
    <row r="363" spans="1:14" ht="12.75" customHeight="1">
      <c r="A363" s="46">
        <v>52</v>
      </c>
      <c r="B363" s="49">
        <v>900</v>
      </c>
      <c r="C363" s="49">
        <v>90095</v>
      </c>
      <c r="D363" s="56" t="s">
        <v>78</v>
      </c>
      <c r="E363" s="37" t="s">
        <v>87</v>
      </c>
      <c r="F363" s="49" t="s">
        <v>93</v>
      </c>
      <c r="G363" s="43">
        <f>SUM(I363:N363)</f>
        <v>1330000</v>
      </c>
      <c r="H363" s="4" t="s">
        <v>15</v>
      </c>
      <c r="I363" s="1">
        <f aca="true" t="shared" si="93" ref="I363:N363">SUM(I364:I366)</f>
        <v>0</v>
      </c>
      <c r="J363" s="1">
        <f t="shared" si="93"/>
        <v>1080000</v>
      </c>
      <c r="K363" s="1">
        <f t="shared" si="93"/>
        <v>250000</v>
      </c>
      <c r="L363" s="1">
        <f t="shared" si="93"/>
        <v>0</v>
      </c>
      <c r="M363" s="1">
        <f t="shared" si="93"/>
        <v>0</v>
      </c>
      <c r="N363" s="1">
        <f t="shared" si="93"/>
        <v>0</v>
      </c>
    </row>
    <row r="364" spans="1:14" ht="12.75" customHeight="1">
      <c r="A364" s="47"/>
      <c r="B364" s="44"/>
      <c r="C364" s="44"/>
      <c r="D364" s="57"/>
      <c r="E364" s="38"/>
      <c r="F364" s="44"/>
      <c r="G364" s="44"/>
      <c r="H364" s="3" t="s">
        <v>16</v>
      </c>
      <c r="I364" s="1">
        <f>500000-500000</f>
        <v>0</v>
      </c>
      <c r="J364" s="1">
        <f>830000+250000</f>
        <v>1080000</v>
      </c>
      <c r="K364" s="1">
        <v>250000</v>
      </c>
      <c r="L364" s="1"/>
      <c r="M364" s="1"/>
      <c r="N364" s="1"/>
    </row>
    <row r="365" spans="1:14" ht="36" customHeight="1">
      <c r="A365" s="47"/>
      <c r="B365" s="44"/>
      <c r="C365" s="44"/>
      <c r="D365" s="57"/>
      <c r="E365" s="38"/>
      <c r="F365" s="44"/>
      <c r="G365" s="44"/>
      <c r="H365" s="5" t="s">
        <v>17</v>
      </c>
      <c r="I365" s="1"/>
      <c r="J365" s="1"/>
      <c r="K365" s="1"/>
      <c r="L365" s="1"/>
      <c r="M365" s="1"/>
      <c r="N365" s="1"/>
    </row>
    <row r="366" spans="1:14" ht="12.75" customHeight="1">
      <c r="A366" s="48"/>
      <c r="B366" s="45"/>
      <c r="C366" s="45"/>
      <c r="D366" s="30"/>
      <c r="E366" s="39"/>
      <c r="F366" s="45"/>
      <c r="G366" s="45"/>
      <c r="H366" s="3" t="s">
        <v>18</v>
      </c>
      <c r="I366" s="1"/>
      <c r="J366" s="1"/>
      <c r="K366" s="1"/>
      <c r="L366" s="1"/>
      <c r="M366" s="1"/>
      <c r="N366" s="1"/>
    </row>
    <row r="367" spans="1:14" ht="12.75" customHeight="1">
      <c r="A367" s="46">
        <v>53</v>
      </c>
      <c r="B367" s="49">
        <v>900</v>
      </c>
      <c r="C367" s="49">
        <v>90095</v>
      </c>
      <c r="D367" s="34" t="s">
        <v>79</v>
      </c>
      <c r="E367" s="37" t="s">
        <v>87</v>
      </c>
      <c r="F367" s="40" t="s">
        <v>94</v>
      </c>
      <c r="G367" s="43">
        <f>SUM(I367:N367)</f>
        <v>1260000</v>
      </c>
      <c r="H367" s="4" t="s">
        <v>15</v>
      </c>
      <c r="I367" s="1">
        <f aca="true" t="shared" si="94" ref="I367:N367">SUM(I368:I370)</f>
        <v>0</v>
      </c>
      <c r="J367" s="1">
        <f t="shared" si="94"/>
        <v>260000</v>
      </c>
      <c r="K367" s="1">
        <f t="shared" si="94"/>
        <v>1000000</v>
      </c>
      <c r="L367" s="1">
        <f t="shared" si="94"/>
        <v>0</v>
      </c>
      <c r="M367" s="1">
        <f t="shared" si="94"/>
        <v>0</v>
      </c>
      <c r="N367" s="1">
        <f t="shared" si="94"/>
        <v>0</v>
      </c>
    </row>
    <row r="368" spans="1:14" ht="25.5" customHeight="1">
      <c r="A368" s="47"/>
      <c r="B368" s="44"/>
      <c r="C368" s="44"/>
      <c r="D368" s="35"/>
      <c r="E368" s="38"/>
      <c r="F368" s="41"/>
      <c r="G368" s="44"/>
      <c r="H368" s="3" t="s">
        <v>16</v>
      </c>
      <c r="I368" s="1"/>
      <c r="J368" s="1">
        <v>260000</v>
      </c>
      <c r="K368" s="1">
        <v>1000000</v>
      </c>
      <c r="L368" s="1"/>
      <c r="M368" s="1"/>
      <c r="N368" s="1"/>
    </row>
    <row r="369" spans="1:14" ht="36" customHeight="1">
      <c r="A369" s="47"/>
      <c r="B369" s="44"/>
      <c r="C369" s="44"/>
      <c r="D369" s="35"/>
      <c r="E369" s="38"/>
      <c r="F369" s="41"/>
      <c r="G369" s="44"/>
      <c r="H369" s="5" t="s">
        <v>17</v>
      </c>
      <c r="I369" s="1"/>
      <c r="J369" s="1"/>
      <c r="K369" s="1"/>
      <c r="L369" s="1"/>
      <c r="M369" s="1"/>
      <c r="N369" s="1"/>
    </row>
    <row r="370" spans="1:14" ht="12.75" customHeight="1">
      <c r="A370" s="48"/>
      <c r="B370" s="45"/>
      <c r="C370" s="45"/>
      <c r="D370" s="58"/>
      <c r="E370" s="39"/>
      <c r="F370" s="42"/>
      <c r="G370" s="45"/>
      <c r="H370" s="3" t="s">
        <v>18</v>
      </c>
      <c r="I370" s="1"/>
      <c r="J370" s="1"/>
      <c r="K370" s="1"/>
      <c r="L370" s="1"/>
      <c r="M370" s="1"/>
      <c r="N370" s="1"/>
    </row>
    <row r="371" spans="1:14" ht="12.75" customHeight="1">
      <c r="A371" s="46">
        <v>54</v>
      </c>
      <c r="B371" s="49">
        <v>900</v>
      </c>
      <c r="C371" s="49">
        <v>90095</v>
      </c>
      <c r="D371" s="56" t="s">
        <v>80</v>
      </c>
      <c r="E371" s="37" t="s">
        <v>87</v>
      </c>
      <c r="F371" s="49" t="s">
        <v>101</v>
      </c>
      <c r="G371" s="43">
        <f>SUM(I371:N371)</f>
        <v>980000</v>
      </c>
      <c r="H371" s="4" t="s">
        <v>15</v>
      </c>
      <c r="I371" s="1">
        <f aca="true" t="shared" si="95" ref="I371:N371">SUM(I372:I374)</f>
        <v>0</v>
      </c>
      <c r="J371" s="1">
        <f t="shared" si="95"/>
        <v>50000</v>
      </c>
      <c r="K371" s="1">
        <f t="shared" si="95"/>
        <v>50000</v>
      </c>
      <c r="L371" s="1">
        <f t="shared" si="95"/>
        <v>320000</v>
      </c>
      <c r="M371" s="1">
        <f t="shared" si="95"/>
        <v>320000</v>
      </c>
      <c r="N371" s="1">
        <f t="shared" si="95"/>
        <v>240000</v>
      </c>
    </row>
    <row r="372" spans="1:14" ht="12.75" customHeight="1">
      <c r="A372" s="47"/>
      <c r="B372" s="44"/>
      <c r="C372" s="44"/>
      <c r="D372" s="57"/>
      <c r="E372" s="38"/>
      <c r="F372" s="44"/>
      <c r="G372" s="44"/>
      <c r="H372" s="3" t="s">
        <v>16</v>
      </c>
      <c r="I372" s="1"/>
      <c r="J372" s="1">
        <v>50000</v>
      </c>
      <c r="K372" s="1">
        <v>50000</v>
      </c>
      <c r="L372" s="1">
        <v>320000</v>
      </c>
      <c r="M372" s="1">
        <v>320000</v>
      </c>
      <c r="N372" s="1">
        <v>240000</v>
      </c>
    </row>
    <row r="373" spans="1:14" ht="36" customHeight="1">
      <c r="A373" s="47"/>
      <c r="B373" s="44"/>
      <c r="C373" s="44"/>
      <c r="D373" s="57"/>
      <c r="E373" s="38"/>
      <c r="F373" s="44"/>
      <c r="G373" s="44"/>
      <c r="H373" s="5" t="s">
        <v>17</v>
      </c>
      <c r="I373" s="1"/>
      <c r="J373" s="1"/>
      <c r="K373" s="1"/>
      <c r="L373" s="1"/>
      <c r="M373" s="1"/>
      <c r="N373" s="1"/>
    </row>
    <row r="374" spans="1:14" ht="12.75" customHeight="1">
      <c r="A374" s="48"/>
      <c r="B374" s="45"/>
      <c r="C374" s="45"/>
      <c r="D374" s="30"/>
      <c r="E374" s="39"/>
      <c r="F374" s="45"/>
      <c r="G374" s="45"/>
      <c r="H374" s="3" t="s">
        <v>18</v>
      </c>
      <c r="I374" s="1"/>
      <c r="J374" s="1"/>
      <c r="K374" s="1"/>
      <c r="L374" s="1"/>
      <c r="M374" s="1"/>
      <c r="N374" s="1"/>
    </row>
    <row r="375" spans="1:14" ht="12.75" customHeight="1">
      <c r="A375" s="46">
        <v>55</v>
      </c>
      <c r="B375" s="49">
        <v>900</v>
      </c>
      <c r="C375" s="49">
        <v>90095</v>
      </c>
      <c r="D375" s="56" t="s">
        <v>81</v>
      </c>
      <c r="E375" s="37" t="s">
        <v>87</v>
      </c>
      <c r="F375" s="40" t="s">
        <v>102</v>
      </c>
      <c r="G375" s="43">
        <f>SUM(I375:N375)</f>
        <v>2800000</v>
      </c>
      <c r="H375" s="4" t="s">
        <v>15</v>
      </c>
      <c r="I375" s="1">
        <f aca="true" t="shared" si="96" ref="I375:N375">SUM(I376:I378)</f>
        <v>0</v>
      </c>
      <c r="J375" s="1">
        <f t="shared" si="96"/>
        <v>0</v>
      </c>
      <c r="K375" s="1">
        <f t="shared" si="96"/>
        <v>100000</v>
      </c>
      <c r="L375" s="1">
        <f t="shared" si="96"/>
        <v>700000</v>
      </c>
      <c r="M375" s="1">
        <f t="shared" si="96"/>
        <v>700000</v>
      </c>
      <c r="N375" s="1">
        <f t="shared" si="96"/>
        <v>1300000</v>
      </c>
    </row>
    <row r="376" spans="1:14" ht="12.75" customHeight="1">
      <c r="A376" s="47"/>
      <c r="B376" s="44"/>
      <c r="C376" s="44"/>
      <c r="D376" s="57"/>
      <c r="E376" s="38"/>
      <c r="F376" s="41"/>
      <c r="G376" s="44"/>
      <c r="H376" s="3" t="s">
        <v>16</v>
      </c>
      <c r="I376" s="1"/>
      <c r="J376" s="1"/>
      <c r="K376" s="1">
        <v>100000</v>
      </c>
      <c r="L376" s="1">
        <v>700000</v>
      </c>
      <c r="M376" s="1">
        <v>700000</v>
      </c>
      <c r="N376" s="1">
        <v>1300000</v>
      </c>
    </row>
    <row r="377" spans="1:14" ht="36" customHeight="1">
      <c r="A377" s="47"/>
      <c r="B377" s="44"/>
      <c r="C377" s="44"/>
      <c r="D377" s="57"/>
      <c r="E377" s="38"/>
      <c r="F377" s="41"/>
      <c r="G377" s="44"/>
      <c r="H377" s="5" t="s">
        <v>17</v>
      </c>
      <c r="I377" s="1"/>
      <c r="J377" s="1"/>
      <c r="K377" s="1"/>
      <c r="L377" s="1"/>
      <c r="M377" s="1"/>
      <c r="N377" s="1"/>
    </row>
    <row r="378" spans="1:14" ht="33.75" customHeight="1">
      <c r="A378" s="48"/>
      <c r="B378" s="45"/>
      <c r="C378" s="45"/>
      <c r="D378" s="30"/>
      <c r="E378" s="39"/>
      <c r="F378" s="42"/>
      <c r="G378" s="45"/>
      <c r="H378" s="3" t="s">
        <v>18</v>
      </c>
      <c r="I378" s="1"/>
      <c r="J378" s="1"/>
      <c r="K378" s="1"/>
      <c r="L378" s="1"/>
      <c r="M378" s="1"/>
      <c r="N378" s="1"/>
    </row>
    <row r="379" spans="1:14" ht="22.5" customHeight="1">
      <c r="A379" s="46">
        <v>56</v>
      </c>
      <c r="B379" s="49">
        <v>900</v>
      </c>
      <c r="C379" s="49">
        <v>90095</v>
      </c>
      <c r="D379" s="56" t="s">
        <v>82</v>
      </c>
      <c r="E379" s="37" t="s">
        <v>87</v>
      </c>
      <c r="F379" s="49" t="s">
        <v>102</v>
      </c>
      <c r="G379" s="43">
        <f>SUM(I379:N379)</f>
        <v>2030000</v>
      </c>
      <c r="H379" s="4" t="s">
        <v>15</v>
      </c>
      <c r="I379" s="1">
        <f aca="true" t="shared" si="97" ref="I379:N379">SUM(I380:I382)</f>
        <v>0</v>
      </c>
      <c r="J379" s="1">
        <f t="shared" si="97"/>
        <v>0</v>
      </c>
      <c r="K379" s="1">
        <f t="shared" si="97"/>
        <v>150000</v>
      </c>
      <c r="L379" s="1">
        <f t="shared" si="97"/>
        <v>780000</v>
      </c>
      <c r="M379" s="1">
        <f t="shared" si="97"/>
        <v>700000</v>
      </c>
      <c r="N379" s="1">
        <f t="shared" si="97"/>
        <v>400000</v>
      </c>
    </row>
    <row r="380" spans="1:14" ht="12.75" customHeight="1">
      <c r="A380" s="47"/>
      <c r="B380" s="44"/>
      <c r="C380" s="44"/>
      <c r="D380" s="57"/>
      <c r="E380" s="38"/>
      <c r="F380" s="44"/>
      <c r="G380" s="44"/>
      <c r="H380" s="3" t="s">
        <v>16</v>
      </c>
      <c r="I380" s="1"/>
      <c r="J380" s="1"/>
      <c r="K380" s="1">
        <v>150000</v>
      </c>
      <c r="L380" s="1">
        <v>780000</v>
      </c>
      <c r="M380" s="1">
        <v>700000</v>
      </c>
      <c r="N380" s="1">
        <v>400000</v>
      </c>
    </row>
    <row r="381" spans="1:14" ht="36" customHeight="1">
      <c r="A381" s="47"/>
      <c r="B381" s="44"/>
      <c r="C381" s="44"/>
      <c r="D381" s="57"/>
      <c r="E381" s="38"/>
      <c r="F381" s="44"/>
      <c r="G381" s="44"/>
      <c r="H381" s="5" t="s">
        <v>17</v>
      </c>
      <c r="I381" s="1"/>
      <c r="J381" s="1"/>
      <c r="K381" s="1"/>
      <c r="L381" s="1"/>
      <c r="M381" s="1"/>
      <c r="N381" s="1"/>
    </row>
    <row r="382" spans="1:14" ht="12.75" customHeight="1">
      <c r="A382" s="48"/>
      <c r="B382" s="45"/>
      <c r="C382" s="45"/>
      <c r="D382" s="30"/>
      <c r="E382" s="39"/>
      <c r="F382" s="45"/>
      <c r="G382" s="45"/>
      <c r="H382" s="3" t="s">
        <v>18</v>
      </c>
      <c r="I382" s="1"/>
      <c r="J382" s="1"/>
      <c r="K382" s="1"/>
      <c r="L382" s="1"/>
      <c r="M382" s="1"/>
      <c r="N382" s="1"/>
    </row>
    <row r="383" spans="1:14" ht="12.75" customHeight="1">
      <c r="A383" s="46">
        <v>57</v>
      </c>
      <c r="B383" s="49">
        <v>900</v>
      </c>
      <c r="C383" s="49">
        <v>90095</v>
      </c>
      <c r="D383" s="56" t="s">
        <v>83</v>
      </c>
      <c r="E383" s="37" t="s">
        <v>87</v>
      </c>
      <c r="F383" s="40" t="s">
        <v>99</v>
      </c>
      <c r="G383" s="43">
        <f>SUM(I383:N383)</f>
        <v>2100000</v>
      </c>
      <c r="H383" s="4" t="s">
        <v>15</v>
      </c>
      <c r="I383" s="1">
        <f aca="true" t="shared" si="98" ref="I383:N383">SUM(I384:I386)</f>
        <v>50000</v>
      </c>
      <c r="J383" s="1">
        <f t="shared" si="98"/>
        <v>100000</v>
      </c>
      <c r="K383" s="1">
        <f t="shared" si="98"/>
        <v>150000</v>
      </c>
      <c r="L383" s="1">
        <f t="shared" si="98"/>
        <v>600000</v>
      </c>
      <c r="M383" s="1">
        <f t="shared" si="98"/>
        <v>600000</v>
      </c>
      <c r="N383" s="1">
        <f t="shared" si="98"/>
        <v>600000</v>
      </c>
    </row>
    <row r="384" spans="1:14" ht="45" customHeight="1">
      <c r="A384" s="47"/>
      <c r="B384" s="44"/>
      <c r="C384" s="44"/>
      <c r="D384" s="57"/>
      <c r="E384" s="38"/>
      <c r="F384" s="41"/>
      <c r="G384" s="44"/>
      <c r="H384" s="3" t="s">
        <v>16</v>
      </c>
      <c r="I384" s="1">
        <f>100000-50000</f>
        <v>50000</v>
      </c>
      <c r="J384" s="1">
        <v>100000</v>
      </c>
      <c r="K384" s="1">
        <f>100000+50000</f>
        <v>150000</v>
      </c>
      <c r="L384" s="1">
        <v>600000</v>
      </c>
      <c r="M384" s="1">
        <v>600000</v>
      </c>
      <c r="N384" s="1">
        <v>600000</v>
      </c>
    </row>
    <row r="385" spans="1:14" ht="36" customHeight="1">
      <c r="A385" s="47"/>
      <c r="B385" s="44"/>
      <c r="C385" s="44"/>
      <c r="D385" s="57"/>
      <c r="E385" s="38"/>
      <c r="F385" s="41"/>
      <c r="G385" s="44"/>
      <c r="H385" s="5" t="s">
        <v>17</v>
      </c>
      <c r="I385" s="1"/>
      <c r="J385" s="1"/>
      <c r="K385" s="1"/>
      <c r="L385" s="1"/>
      <c r="M385" s="1"/>
      <c r="N385" s="1"/>
    </row>
    <row r="386" spans="1:14" ht="12.75" customHeight="1">
      <c r="A386" s="48"/>
      <c r="B386" s="45"/>
      <c r="C386" s="45"/>
      <c r="D386" s="30"/>
      <c r="E386" s="39"/>
      <c r="F386" s="42"/>
      <c r="G386" s="45"/>
      <c r="H386" s="3" t="s">
        <v>18</v>
      </c>
      <c r="I386" s="1"/>
      <c r="J386" s="1"/>
      <c r="K386" s="1"/>
      <c r="L386" s="1"/>
      <c r="M386" s="1"/>
      <c r="N386" s="1"/>
    </row>
    <row r="387" spans="1:14" ht="12.75" customHeight="1">
      <c r="A387" s="46">
        <v>58</v>
      </c>
      <c r="B387" s="49">
        <v>900</v>
      </c>
      <c r="C387" s="49">
        <v>90095</v>
      </c>
      <c r="D387" s="56" t="s">
        <v>84</v>
      </c>
      <c r="E387" s="37" t="s">
        <v>87</v>
      </c>
      <c r="F387" s="49" t="s">
        <v>102</v>
      </c>
      <c r="G387" s="43">
        <f>SUM(I387:N387)</f>
        <v>840000</v>
      </c>
      <c r="H387" s="4" t="s">
        <v>15</v>
      </c>
      <c r="I387" s="1">
        <f aca="true" t="shared" si="99" ref="I387:N387">SUM(I388:I390)</f>
        <v>0</v>
      </c>
      <c r="J387" s="1">
        <f t="shared" si="99"/>
        <v>0</v>
      </c>
      <c r="K387" s="1">
        <f t="shared" si="99"/>
        <v>70000</v>
      </c>
      <c r="L387" s="1">
        <f t="shared" si="99"/>
        <v>200000</v>
      </c>
      <c r="M387" s="1">
        <f t="shared" si="99"/>
        <v>250000</v>
      </c>
      <c r="N387" s="1">
        <f t="shared" si="99"/>
        <v>320000</v>
      </c>
    </row>
    <row r="388" spans="1:14" ht="12.75" customHeight="1">
      <c r="A388" s="47"/>
      <c r="B388" s="44"/>
      <c r="C388" s="44"/>
      <c r="D388" s="57"/>
      <c r="E388" s="38"/>
      <c r="F388" s="44"/>
      <c r="G388" s="44"/>
      <c r="H388" s="3" t="s">
        <v>16</v>
      </c>
      <c r="I388" s="1"/>
      <c r="J388" s="1"/>
      <c r="K388" s="1">
        <v>70000</v>
      </c>
      <c r="L388" s="1">
        <v>200000</v>
      </c>
      <c r="M388" s="1">
        <v>250000</v>
      </c>
      <c r="N388" s="1">
        <v>320000</v>
      </c>
    </row>
    <row r="389" spans="1:14" ht="36" customHeight="1">
      <c r="A389" s="47"/>
      <c r="B389" s="44"/>
      <c r="C389" s="44"/>
      <c r="D389" s="57"/>
      <c r="E389" s="38"/>
      <c r="F389" s="44"/>
      <c r="G389" s="44"/>
      <c r="H389" s="5" t="s">
        <v>17</v>
      </c>
      <c r="I389" s="1"/>
      <c r="J389" s="1"/>
      <c r="K389" s="1"/>
      <c r="L389" s="1"/>
      <c r="M389" s="1"/>
      <c r="N389" s="1"/>
    </row>
    <row r="390" spans="1:14" ht="12.75" customHeight="1">
      <c r="A390" s="48"/>
      <c r="B390" s="45"/>
      <c r="C390" s="45"/>
      <c r="D390" s="30"/>
      <c r="E390" s="39"/>
      <c r="F390" s="45"/>
      <c r="G390" s="45"/>
      <c r="H390" s="3" t="s">
        <v>18</v>
      </c>
      <c r="I390" s="1"/>
      <c r="J390" s="1"/>
      <c r="K390" s="1"/>
      <c r="L390" s="1"/>
      <c r="M390" s="1"/>
      <c r="N390" s="1"/>
    </row>
    <row r="391" spans="1:14" ht="19.5" customHeight="1">
      <c r="A391" s="46">
        <v>59</v>
      </c>
      <c r="B391" s="49">
        <v>900</v>
      </c>
      <c r="C391" s="49">
        <v>90095</v>
      </c>
      <c r="D391" s="56" t="s">
        <v>108</v>
      </c>
      <c r="E391" s="37" t="s">
        <v>104</v>
      </c>
      <c r="F391" s="40" t="s">
        <v>92</v>
      </c>
      <c r="G391" s="43">
        <f>SUM(I391:N391)</f>
        <v>4000000</v>
      </c>
      <c r="H391" s="4" t="s">
        <v>15</v>
      </c>
      <c r="I391" s="1">
        <f aca="true" t="shared" si="100" ref="I391:N391">SUM(I392:I394)</f>
        <v>0</v>
      </c>
      <c r="J391" s="1">
        <f t="shared" si="100"/>
        <v>2000000</v>
      </c>
      <c r="K391" s="1">
        <f t="shared" si="100"/>
        <v>2000000</v>
      </c>
      <c r="L391" s="1">
        <f t="shared" si="100"/>
        <v>0</v>
      </c>
      <c r="M391" s="1">
        <f t="shared" si="100"/>
        <v>0</v>
      </c>
      <c r="N391" s="1">
        <f t="shared" si="100"/>
        <v>0</v>
      </c>
    </row>
    <row r="392" spans="1:14" ht="18.75" customHeight="1">
      <c r="A392" s="47"/>
      <c r="B392" s="44"/>
      <c r="C392" s="44"/>
      <c r="D392" s="57"/>
      <c r="E392" s="38"/>
      <c r="F392" s="41"/>
      <c r="G392" s="44"/>
      <c r="H392" s="3" t="s">
        <v>16</v>
      </c>
      <c r="I392" s="1">
        <f>I396</f>
        <v>0</v>
      </c>
      <c r="J392" s="1">
        <f>J396</f>
        <v>275000</v>
      </c>
      <c r="K392" s="1">
        <f>K396</f>
        <v>500000</v>
      </c>
      <c r="L392" s="1"/>
      <c r="M392" s="1"/>
      <c r="N392" s="1"/>
    </row>
    <row r="393" spans="1:14" ht="21.75" customHeight="1">
      <c r="A393" s="47"/>
      <c r="B393" s="44"/>
      <c r="C393" s="44"/>
      <c r="D393" s="57"/>
      <c r="E393" s="38"/>
      <c r="F393" s="41"/>
      <c r="G393" s="44"/>
      <c r="H393" s="5" t="s">
        <v>17</v>
      </c>
      <c r="I393" s="1"/>
      <c r="J393" s="1"/>
      <c r="K393" s="1"/>
      <c r="L393" s="1"/>
      <c r="M393" s="1"/>
      <c r="N393" s="1"/>
    </row>
    <row r="394" spans="1:14" ht="23.25" customHeight="1">
      <c r="A394" s="48"/>
      <c r="B394" s="45"/>
      <c r="C394" s="45"/>
      <c r="D394" s="30"/>
      <c r="E394" s="39"/>
      <c r="F394" s="42"/>
      <c r="G394" s="45"/>
      <c r="H394" s="3" t="s">
        <v>18</v>
      </c>
      <c r="I394" s="1">
        <f>I398</f>
        <v>0</v>
      </c>
      <c r="J394" s="1">
        <f>J398</f>
        <v>1725000</v>
      </c>
      <c r="K394" s="1">
        <f>K398</f>
        <v>1500000</v>
      </c>
      <c r="L394" s="1"/>
      <c r="M394" s="1"/>
      <c r="N394" s="1"/>
    </row>
    <row r="395" spans="1:14" ht="12.75" customHeight="1">
      <c r="A395" s="46"/>
      <c r="B395" s="49"/>
      <c r="C395" s="49"/>
      <c r="D395" s="50" t="s">
        <v>127</v>
      </c>
      <c r="E395" s="37" t="s">
        <v>104</v>
      </c>
      <c r="F395" s="40" t="s">
        <v>92</v>
      </c>
      <c r="G395" s="43">
        <f>SUM(I395:N395)</f>
        <v>4000000</v>
      </c>
      <c r="H395" s="4" t="s">
        <v>15</v>
      </c>
      <c r="I395" s="1">
        <f aca="true" t="shared" si="101" ref="I395:N395">SUM(I396:I398)</f>
        <v>0</v>
      </c>
      <c r="J395" s="1">
        <f t="shared" si="101"/>
        <v>2000000</v>
      </c>
      <c r="K395" s="1">
        <f t="shared" si="101"/>
        <v>2000000</v>
      </c>
      <c r="L395" s="1">
        <f t="shared" si="101"/>
        <v>0</v>
      </c>
      <c r="M395" s="1">
        <f t="shared" si="101"/>
        <v>0</v>
      </c>
      <c r="N395" s="1">
        <f t="shared" si="101"/>
        <v>0</v>
      </c>
    </row>
    <row r="396" spans="1:14" ht="12.75" customHeight="1">
      <c r="A396" s="47"/>
      <c r="B396" s="44"/>
      <c r="C396" s="44"/>
      <c r="D396" s="51"/>
      <c r="E396" s="38"/>
      <c r="F396" s="41"/>
      <c r="G396" s="44"/>
      <c r="H396" s="3" t="s">
        <v>16</v>
      </c>
      <c r="I396" s="1">
        <f>300000-300000</f>
        <v>0</v>
      </c>
      <c r="J396" s="1">
        <f>200000+75000</f>
        <v>275000</v>
      </c>
      <c r="K396" s="1">
        <v>500000</v>
      </c>
      <c r="L396" s="1"/>
      <c r="M396" s="1"/>
      <c r="N396" s="1"/>
    </row>
    <row r="397" spans="1:14" ht="36" customHeight="1">
      <c r="A397" s="47"/>
      <c r="B397" s="44"/>
      <c r="C397" s="44"/>
      <c r="D397" s="51"/>
      <c r="E397" s="38"/>
      <c r="F397" s="41"/>
      <c r="G397" s="44"/>
      <c r="H397" s="5" t="s">
        <v>17</v>
      </c>
      <c r="I397" s="1"/>
      <c r="J397" s="1"/>
      <c r="K397" s="1"/>
      <c r="L397" s="1"/>
      <c r="M397" s="1"/>
      <c r="N397" s="1"/>
    </row>
    <row r="398" spans="1:14" ht="22.5" customHeight="1">
      <c r="A398" s="48"/>
      <c r="B398" s="45"/>
      <c r="C398" s="45"/>
      <c r="D398" s="52"/>
      <c r="E398" s="39"/>
      <c r="F398" s="42"/>
      <c r="G398" s="45"/>
      <c r="H398" s="3" t="s">
        <v>18</v>
      </c>
      <c r="I398" s="1">
        <f>1700000-1700000</f>
        <v>0</v>
      </c>
      <c r="J398" s="1">
        <f>1500000+225000</f>
        <v>1725000</v>
      </c>
      <c r="K398" s="1">
        <v>1500000</v>
      </c>
      <c r="L398" s="1"/>
      <c r="M398" s="1"/>
      <c r="N398" s="1"/>
    </row>
    <row r="399" spans="1:14" ht="12.75" customHeight="1">
      <c r="A399" s="46">
        <v>60</v>
      </c>
      <c r="B399" s="49">
        <v>900</v>
      </c>
      <c r="C399" s="49">
        <v>90095</v>
      </c>
      <c r="D399" s="56" t="s">
        <v>85</v>
      </c>
      <c r="E399" s="37" t="s">
        <v>87</v>
      </c>
      <c r="F399" s="49" t="s">
        <v>100</v>
      </c>
      <c r="G399" s="43">
        <f>SUM(I399:N399)</f>
        <v>2100000</v>
      </c>
      <c r="H399" s="4" t="s">
        <v>15</v>
      </c>
      <c r="I399" s="1">
        <f aca="true" t="shared" si="102" ref="I399:N399">SUM(I400:I402)</f>
        <v>0</v>
      </c>
      <c r="J399" s="1">
        <f t="shared" si="102"/>
        <v>70000</v>
      </c>
      <c r="K399" s="1">
        <f t="shared" si="102"/>
        <v>150000</v>
      </c>
      <c r="L399" s="1">
        <f t="shared" si="102"/>
        <v>780000</v>
      </c>
      <c r="M399" s="1">
        <f t="shared" si="102"/>
        <v>1100000</v>
      </c>
      <c r="N399" s="1">
        <f t="shared" si="102"/>
        <v>0</v>
      </c>
    </row>
    <row r="400" spans="1:14" ht="12.75" customHeight="1">
      <c r="A400" s="47"/>
      <c r="B400" s="44"/>
      <c r="C400" s="44"/>
      <c r="D400" s="57"/>
      <c r="E400" s="38"/>
      <c r="F400" s="44"/>
      <c r="G400" s="44"/>
      <c r="H400" s="3" t="s">
        <v>16</v>
      </c>
      <c r="I400" s="1">
        <f>70000-70000</f>
        <v>0</v>
      </c>
      <c r="J400" s="1">
        <f>70000</f>
        <v>70000</v>
      </c>
      <c r="K400" s="1">
        <v>150000</v>
      </c>
      <c r="L400" s="1">
        <v>780000</v>
      </c>
      <c r="M400" s="1">
        <v>1100000</v>
      </c>
      <c r="N400" s="1"/>
    </row>
    <row r="401" spans="1:14" ht="36" customHeight="1">
      <c r="A401" s="47"/>
      <c r="B401" s="44"/>
      <c r="C401" s="44"/>
      <c r="D401" s="57"/>
      <c r="E401" s="38"/>
      <c r="F401" s="44"/>
      <c r="G401" s="44"/>
      <c r="H401" s="5" t="s">
        <v>17</v>
      </c>
      <c r="I401" s="1"/>
      <c r="J401" s="1"/>
      <c r="K401" s="1"/>
      <c r="L401" s="1"/>
      <c r="M401" s="1"/>
      <c r="N401" s="1"/>
    </row>
    <row r="402" spans="1:14" ht="12.75" customHeight="1">
      <c r="A402" s="48"/>
      <c r="B402" s="45"/>
      <c r="C402" s="45"/>
      <c r="D402" s="30"/>
      <c r="E402" s="39"/>
      <c r="F402" s="45"/>
      <c r="G402" s="45"/>
      <c r="H402" s="3" t="s">
        <v>18</v>
      </c>
      <c r="I402" s="1"/>
      <c r="J402" s="1"/>
      <c r="K402" s="1"/>
      <c r="L402" s="1"/>
      <c r="M402" s="1"/>
      <c r="N402" s="1"/>
    </row>
    <row r="403" spans="1:14" ht="12.75" customHeight="1">
      <c r="A403" s="46">
        <v>61</v>
      </c>
      <c r="B403" s="49"/>
      <c r="C403" s="49"/>
      <c r="D403" s="56" t="s">
        <v>115</v>
      </c>
      <c r="E403" s="37" t="s">
        <v>87</v>
      </c>
      <c r="F403" s="49">
        <v>2008</v>
      </c>
      <c r="G403" s="43">
        <f>SUM(I403:N403)</f>
        <v>252562</v>
      </c>
      <c r="H403" s="4" t="s">
        <v>15</v>
      </c>
      <c r="I403" s="1">
        <f>SUM(I404:I406)</f>
        <v>252562</v>
      </c>
      <c r="J403" s="1"/>
      <c r="K403" s="1"/>
      <c r="L403" s="1"/>
      <c r="M403" s="1"/>
      <c r="N403" s="1"/>
    </row>
    <row r="404" spans="1:14" ht="12.75" customHeight="1">
      <c r="A404" s="47"/>
      <c r="B404" s="44"/>
      <c r="C404" s="44"/>
      <c r="D404" s="57"/>
      <c r="E404" s="38"/>
      <c r="F404" s="44"/>
      <c r="G404" s="44"/>
      <c r="H404" s="3" t="s">
        <v>16</v>
      </c>
      <c r="I404" s="1">
        <v>252562</v>
      </c>
      <c r="J404" s="1"/>
      <c r="K404" s="1"/>
      <c r="L404" s="1"/>
      <c r="M404" s="1"/>
      <c r="N404" s="1"/>
    </row>
    <row r="405" spans="1:14" ht="22.5" customHeight="1">
      <c r="A405" s="47"/>
      <c r="B405" s="44"/>
      <c r="C405" s="44"/>
      <c r="D405" s="57"/>
      <c r="E405" s="38"/>
      <c r="F405" s="44"/>
      <c r="G405" s="44"/>
      <c r="H405" s="5" t="s">
        <v>17</v>
      </c>
      <c r="I405" s="1"/>
      <c r="J405" s="1"/>
      <c r="K405" s="1"/>
      <c r="L405" s="1"/>
      <c r="M405" s="1"/>
      <c r="N405" s="1"/>
    </row>
    <row r="406" spans="1:14" ht="12.75" customHeight="1">
      <c r="A406" s="48"/>
      <c r="B406" s="45"/>
      <c r="C406" s="45"/>
      <c r="D406" s="30"/>
      <c r="E406" s="39"/>
      <c r="F406" s="45"/>
      <c r="G406" s="45"/>
      <c r="H406" s="3" t="s">
        <v>18</v>
      </c>
      <c r="I406" s="1"/>
      <c r="J406" s="1"/>
      <c r="K406" s="1"/>
      <c r="L406" s="1"/>
      <c r="M406" s="1"/>
      <c r="N406" s="1"/>
    </row>
    <row r="407" spans="1:14" ht="12.75" customHeight="1">
      <c r="A407" s="46">
        <v>62</v>
      </c>
      <c r="B407" s="49">
        <v>921</v>
      </c>
      <c r="C407" s="49">
        <v>92116</v>
      </c>
      <c r="D407" s="56" t="s">
        <v>75</v>
      </c>
      <c r="E407" s="37" t="s">
        <v>87</v>
      </c>
      <c r="F407" s="49">
        <v>2010</v>
      </c>
      <c r="G407" s="43">
        <f>SUM(I407:N407)</f>
        <v>1528000</v>
      </c>
      <c r="H407" s="4" t="s">
        <v>15</v>
      </c>
      <c r="I407" s="1">
        <f aca="true" t="shared" si="103" ref="I407:N407">SUM(I408:I410)</f>
        <v>0</v>
      </c>
      <c r="J407" s="1">
        <f t="shared" si="103"/>
        <v>0</v>
      </c>
      <c r="K407" s="1">
        <f t="shared" si="103"/>
        <v>1528000</v>
      </c>
      <c r="L407" s="1">
        <f t="shared" si="103"/>
        <v>0</v>
      </c>
      <c r="M407" s="1">
        <f t="shared" si="103"/>
        <v>0</v>
      </c>
      <c r="N407" s="1">
        <f t="shared" si="103"/>
        <v>0</v>
      </c>
    </row>
    <row r="408" spans="1:14" ht="12.75" customHeight="1">
      <c r="A408" s="47"/>
      <c r="B408" s="44"/>
      <c r="C408" s="44"/>
      <c r="D408" s="57"/>
      <c r="E408" s="38"/>
      <c r="F408" s="44"/>
      <c r="G408" s="44"/>
      <c r="H408" s="3" t="s">
        <v>16</v>
      </c>
      <c r="I408" s="1"/>
      <c r="J408" s="1"/>
      <c r="K408" s="1">
        <v>229200</v>
      </c>
      <c r="L408" s="1"/>
      <c r="M408" s="1"/>
      <c r="N408" s="1"/>
    </row>
    <row r="409" spans="1:14" ht="36" customHeight="1">
      <c r="A409" s="47"/>
      <c r="B409" s="44"/>
      <c r="C409" s="44"/>
      <c r="D409" s="57"/>
      <c r="E409" s="38"/>
      <c r="F409" s="44"/>
      <c r="G409" s="44"/>
      <c r="H409" s="5" t="s">
        <v>17</v>
      </c>
      <c r="I409" s="1"/>
      <c r="J409" s="1"/>
      <c r="K409" s="1"/>
      <c r="L409" s="1"/>
      <c r="M409" s="1"/>
      <c r="N409" s="1"/>
    </row>
    <row r="410" spans="1:14" ht="12.75" customHeight="1">
      <c r="A410" s="48"/>
      <c r="B410" s="45"/>
      <c r="C410" s="45"/>
      <c r="D410" s="30"/>
      <c r="E410" s="39"/>
      <c r="F410" s="45"/>
      <c r="G410" s="45"/>
      <c r="H410" s="3" t="s">
        <v>18</v>
      </c>
      <c r="I410" s="1"/>
      <c r="J410" s="1"/>
      <c r="K410" s="1">
        <v>1298800</v>
      </c>
      <c r="L410" s="1"/>
      <c r="M410" s="1"/>
      <c r="N410" s="1"/>
    </row>
    <row r="411" spans="1:14" ht="12.75" customHeight="1">
      <c r="A411" s="46">
        <v>63</v>
      </c>
      <c r="B411" s="49">
        <v>921</v>
      </c>
      <c r="C411" s="49">
        <v>92120</v>
      </c>
      <c r="D411" s="56" t="s">
        <v>112</v>
      </c>
      <c r="E411" s="37" t="s">
        <v>87</v>
      </c>
      <c r="F411" s="40" t="s">
        <v>95</v>
      </c>
      <c r="G411" s="43">
        <f>SUM(I411:N411)</f>
        <v>12725000</v>
      </c>
      <c r="H411" s="4" t="s">
        <v>15</v>
      </c>
      <c r="I411" s="1">
        <f aca="true" t="shared" si="104" ref="I411:N411">SUM(I412:I414)</f>
        <v>225000</v>
      </c>
      <c r="J411" s="1">
        <f t="shared" si="104"/>
        <v>3500000</v>
      </c>
      <c r="K411" s="1">
        <f t="shared" si="104"/>
        <v>3500000</v>
      </c>
      <c r="L411" s="1">
        <f t="shared" si="104"/>
        <v>5500000</v>
      </c>
      <c r="M411" s="1">
        <f t="shared" si="104"/>
        <v>0</v>
      </c>
      <c r="N411" s="1">
        <f t="shared" si="104"/>
        <v>0</v>
      </c>
    </row>
    <row r="412" spans="1:14" ht="12.75" customHeight="1">
      <c r="A412" s="47"/>
      <c r="B412" s="44"/>
      <c r="C412" s="44"/>
      <c r="D412" s="57"/>
      <c r="E412" s="38"/>
      <c r="F412" s="41"/>
      <c r="G412" s="44"/>
      <c r="H412" s="3" t="s">
        <v>16</v>
      </c>
      <c r="I412" s="1">
        <v>225000</v>
      </c>
      <c r="J412" s="1">
        <v>525000</v>
      </c>
      <c r="K412" s="1">
        <v>525000</v>
      </c>
      <c r="L412" s="1">
        <v>825000</v>
      </c>
      <c r="M412" s="1"/>
      <c r="N412" s="1"/>
    </row>
    <row r="413" spans="1:14" ht="36" customHeight="1">
      <c r="A413" s="47"/>
      <c r="B413" s="44"/>
      <c r="C413" s="44"/>
      <c r="D413" s="57"/>
      <c r="E413" s="38"/>
      <c r="F413" s="41"/>
      <c r="G413" s="44"/>
      <c r="H413" s="5" t="s">
        <v>17</v>
      </c>
      <c r="I413" s="1"/>
      <c r="J413" s="1"/>
      <c r="K413" s="1"/>
      <c r="L413" s="1"/>
      <c r="M413" s="1"/>
      <c r="N413" s="1"/>
    </row>
    <row r="414" spans="1:14" ht="12.75" customHeight="1">
      <c r="A414" s="48"/>
      <c r="B414" s="45"/>
      <c r="C414" s="45"/>
      <c r="D414" s="30"/>
      <c r="E414" s="39"/>
      <c r="F414" s="42"/>
      <c r="G414" s="45"/>
      <c r="H414" s="3" t="s">
        <v>18</v>
      </c>
      <c r="I414" s="1">
        <f>1275000-1275000</f>
        <v>0</v>
      </c>
      <c r="J414" s="1">
        <v>2975000</v>
      </c>
      <c r="K414" s="1">
        <v>2975000</v>
      </c>
      <c r="L414" s="1">
        <v>4675000</v>
      </c>
      <c r="M414" s="1"/>
      <c r="N414" s="1"/>
    </row>
    <row r="415" spans="1:14" ht="12.75" customHeight="1">
      <c r="A415" s="46">
        <v>64</v>
      </c>
      <c r="B415" s="49">
        <v>921</v>
      </c>
      <c r="C415" s="49">
        <v>92195</v>
      </c>
      <c r="D415" s="56" t="s">
        <v>128</v>
      </c>
      <c r="E415" s="37" t="s">
        <v>87</v>
      </c>
      <c r="F415" s="49" t="s">
        <v>93</v>
      </c>
      <c r="G415" s="43">
        <f>SUM(I415:N415)</f>
        <v>17584119</v>
      </c>
      <c r="H415" s="4" t="s">
        <v>15</v>
      </c>
      <c r="I415" s="1">
        <f aca="true" t="shared" si="105" ref="I415:N415">SUM(I416:I418)</f>
        <v>10957807</v>
      </c>
      <c r="J415" s="1">
        <f t="shared" si="105"/>
        <v>6626312</v>
      </c>
      <c r="K415" s="1">
        <f t="shared" si="105"/>
        <v>0</v>
      </c>
      <c r="L415" s="1">
        <f t="shared" si="105"/>
        <v>0</v>
      </c>
      <c r="M415" s="1">
        <f t="shared" si="105"/>
        <v>0</v>
      </c>
      <c r="N415" s="1">
        <f t="shared" si="105"/>
        <v>0</v>
      </c>
    </row>
    <row r="416" spans="1:14" ht="12.75" customHeight="1">
      <c r="A416" s="47"/>
      <c r="B416" s="44"/>
      <c r="C416" s="44"/>
      <c r="D416" s="57"/>
      <c r="E416" s="38"/>
      <c r="F416" s="44"/>
      <c r="G416" s="44"/>
      <c r="H416" s="3" t="s">
        <v>16</v>
      </c>
      <c r="I416" s="1">
        <f>969000+2616000+10000+820000+862889+1000000</f>
        <v>6277889</v>
      </c>
      <c r="J416" s="1">
        <f>6626312*0.25</f>
        <v>1656578</v>
      </c>
      <c r="K416" s="1"/>
      <c r="L416" s="1"/>
      <c r="M416" s="1"/>
      <c r="N416" s="1"/>
    </row>
    <row r="417" spans="1:14" ht="36" customHeight="1">
      <c r="A417" s="47"/>
      <c r="B417" s="44"/>
      <c r="C417" s="44"/>
      <c r="D417" s="57"/>
      <c r="E417" s="38"/>
      <c r="F417" s="44"/>
      <c r="G417" s="44"/>
      <c r="H417" s="5" t="s">
        <v>17</v>
      </c>
      <c r="I417" s="1"/>
      <c r="J417" s="1"/>
      <c r="K417" s="1"/>
      <c r="L417" s="1"/>
      <c r="M417" s="1"/>
      <c r="N417" s="1"/>
    </row>
    <row r="418" spans="1:14" ht="12.75" customHeight="1">
      <c r="A418" s="48"/>
      <c r="B418" s="45"/>
      <c r="C418" s="45"/>
      <c r="D418" s="30"/>
      <c r="E418" s="39"/>
      <c r="F418" s="45"/>
      <c r="G418" s="45"/>
      <c r="H418" s="3" t="s">
        <v>18</v>
      </c>
      <c r="I418" s="1">
        <f>5491000-2616000-10000-1185082+3000000</f>
        <v>4679918</v>
      </c>
      <c r="J418" s="1">
        <f>6626312*0.75</f>
        <v>4969734</v>
      </c>
      <c r="K418" s="1"/>
      <c r="L418" s="1"/>
      <c r="M418" s="1"/>
      <c r="N418" s="1"/>
    </row>
    <row r="419" spans="1:14" ht="12.75" customHeight="1">
      <c r="A419" s="46">
        <v>65</v>
      </c>
      <c r="B419" s="49">
        <v>926</v>
      </c>
      <c r="C419" s="49">
        <v>92695</v>
      </c>
      <c r="D419" s="56" t="s">
        <v>129</v>
      </c>
      <c r="E419" s="37" t="s">
        <v>87</v>
      </c>
      <c r="F419" s="49" t="s">
        <v>95</v>
      </c>
      <c r="G419" s="43">
        <f>SUM(I419:N419)</f>
        <v>30097600</v>
      </c>
      <c r="H419" s="4" t="s">
        <v>15</v>
      </c>
      <c r="I419" s="1">
        <f aca="true" t="shared" si="106" ref="I419:N419">SUM(I420:I422)</f>
        <v>597600</v>
      </c>
      <c r="J419" s="1">
        <f t="shared" si="106"/>
        <v>10000000</v>
      </c>
      <c r="K419" s="1">
        <f t="shared" si="106"/>
        <v>10000000</v>
      </c>
      <c r="L419" s="1">
        <f t="shared" si="106"/>
        <v>9500000</v>
      </c>
      <c r="M419" s="1">
        <f t="shared" si="106"/>
        <v>0</v>
      </c>
      <c r="N419" s="1">
        <f t="shared" si="106"/>
        <v>0</v>
      </c>
    </row>
    <row r="420" spans="1:14" ht="12.75" customHeight="1">
      <c r="A420" s="47"/>
      <c r="B420" s="44"/>
      <c r="C420" s="44"/>
      <c r="D420" s="57"/>
      <c r="E420" s="38"/>
      <c r="F420" s="44"/>
      <c r="G420" s="44"/>
      <c r="H420" s="3" t="s">
        <v>16</v>
      </c>
      <c r="I420" s="1">
        <f>459188-159188+97600</f>
        <v>397600</v>
      </c>
      <c r="J420" s="1">
        <v>6000000</v>
      </c>
      <c r="K420" s="1">
        <v>6000000</v>
      </c>
      <c r="L420" s="1">
        <f>9500000*0.6</f>
        <v>5700000</v>
      </c>
      <c r="M420" s="1"/>
      <c r="N420" s="1"/>
    </row>
    <row r="421" spans="1:14" ht="36" customHeight="1">
      <c r="A421" s="47"/>
      <c r="B421" s="44"/>
      <c r="C421" s="44"/>
      <c r="D421" s="57"/>
      <c r="E421" s="38"/>
      <c r="F421" s="44"/>
      <c r="G421" s="44"/>
      <c r="H421" s="5" t="s">
        <v>17</v>
      </c>
      <c r="I421" s="1"/>
      <c r="J421" s="1"/>
      <c r="K421" s="1"/>
      <c r="L421" s="1"/>
      <c r="M421" s="1"/>
      <c r="N421" s="1"/>
    </row>
    <row r="422" spans="1:14" ht="12.75" customHeight="1">
      <c r="A422" s="48"/>
      <c r="B422" s="45"/>
      <c r="C422" s="45"/>
      <c r="D422" s="30"/>
      <c r="E422" s="39"/>
      <c r="F422" s="45"/>
      <c r="G422" s="45"/>
      <c r="H422" s="3" t="s">
        <v>18</v>
      </c>
      <c r="I422" s="1">
        <f>2602062-2402062</f>
        <v>200000</v>
      </c>
      <c r="J422" s="1">
        <v>4000000</v>
      </c>
      <c r="K422" s="1">
        <v>4000000</v>
      </c>
      <c r="L422" s="1">
        <f>9500000*0.4</f>
        <v>3800000</v>
      </c>
      <c r="M422" s="1"/>
      <c r="N422" s="1"/>
    </row>
    <row r="423" spans="1:14" ht="12.75" customHeight="1">
      <c r="A423" s="46">
        <v>66</v>
      </c>
      <c r="B423" s="49">
        <v>926</v>
      </c>
      <c r="C423" s="49">
        <v>92695</v>
      </c>
      <c r="D423" s="56" t="s">
        <v>130</v>
      </c>
      <c r="E423" s="37" t="s">
        <v>87</v>
      </c>
      <c r="F423" s="40" t="s">
        <v>94</v>
      </c>
      <c r="G423" s="43">
        <f>SUM(I423:N423)</f>
        <v>3260533</v>
      </c>
      <c r="H423" s="4" t="s">
        <v>15</v>
      </c>
      <c r="I423" s="1">
        <f aca="true" t="shared" si="107" ref="I423:N423">SUM(I424:I426)</f>
        <v>0</v>
      </c>
      <c r="J423" s="1">
        <f t="shared" si="107"/>
        <v>2000000</v>
      </c>
      <c r="K423" s="1">
        <f t="shared" si="107"/>
        <v>1260533</v>
      </c>
      <c r="L423" s="1">
        <f t="shared" si="107"/>
        <v>0</v>
      </c>
      <c r="M423" s="1">
        <f t="shared" si="107"/>
        <v>0</v>
      </c>
      <c r="N423" s="1">
        <f t="shared" si="107"/>
        <v>0</v>
      </c>
    </row>
    <row r="424" spans="1:14" ht="12.75" customHeight="1">
      <c r="A424" s="47"/>
      <c r="B424" s="44"/>
      <c r="C424" s="44"/>
      <c r="D424" s="57"/>
      <c r="E424" s="38"/>
      <c r="F424" s="41"/>
      <c r="G424" s="44"/>
      <c r="H424" s="3" t="s">
        <v>16</v>
      </c>
      <c r="I424" s="1">
        <f>61580-61580</f>
        <v>0</v>
      </c>
      <c r="J424" s="1">
        <v>500000</v>
      </c>
      <c r="K424" s="1">
        <v>315133</v>
      </c>
      <c r="L424" s="1"/>
      <c r="M424" s="1"/>
      <c r="N424" s="1"/>
    </row>
    <row r="425" spans="1:14" ht="36" customHeight="1">
      <c r="A425" s="47"/>
      <c r="B425" s="44"/>
      <c r="C425" s="44"/>
      <c r="D425" s="57"/>
      <c r="E425" s="38"/>
      <c r="F425" s="41"/>
      <c r="G425" s="44"/>
      <c r="H425" s="5" t="s">
        <v>17</v>
      </c>
      <c r="I425" s="1"/>
      <c r="J425" s="1"/>
      <c r="K425" s="1"/>
      <c r="L425" s="1"/>
      <c r="M425" s="1"/>
      <c r="N425" s="1"/>
    </row>
    <row r="426" spans="1:14" ht="22.5" customHeight="1">
      <c r="A426" s="48"/>
      <c r="B426" s="45"/>
      <c r="C426" s="45"/>
      <c r="D426" s="30"/>
      <c r="E426" s="39"/>
      <c r="F426" s="42"/>
      <c r="G426" s="45"/>
      <c r="H426" s="3" t="s">
        <v>18</v>
      </c>
      <c r="I426" s="1">
        <f>348953-348953</f>
        <v>0</v>
      </c>
      <c r="J426" s="1">
        <v>1500000</v>
      </c>
      <c r="K426" s="1">
        <v>945400</v>
      </c>
      <c r="L426" s="1"/>
      <c r="M426" s="1"/>
      <c r="N426" s="1"/>
    </row>
    <row r="427" spans="1:14" ht="22.5" customHeight="1">
      <c r="A427" s="46">
        <v>67</v>
      </c>
      <c r="B427" s="49">
        <v>926</v>
      </c>
      <c r="C427" s="49">
        <v>92695</v>
      </c>
      <c r="D427" s="56" t="s">
        <v>76</v>
      </c>
      <c r="E427" s="37" t="s">
        <v>87</v>
      </c>
      <c r="F427" s="49" t="s">
        <v>93</v>
      </c>
      <c r="G427" s="43">
        <f>SUM(I427:N427)</f>
        <v>2196000</v>
      </c>
      <c r="H427" s="4" t="s">
        <v>15</v>
      </c>
      <c r="I427" s="1">
        <f aca="true" t="shared" si="108" ref="I427:N427">SUM(I428:I430)</f>
        <v>836900</v>
      </c>
      <c r="J427" s="1">
        <f t="shared" si="108"/>
        <v>1359100</v>
      </c>
      <c r="K427" s="1">
        <f t="shared" si="108"/>
        <v>0</v>
      </c>
      <c r="L427" s="1">
        <f t="shared" si="108"/>
        <v>0</v>
      </c>
      <c r="M427" s="1">
        <f t="shared" si="108"/>
        <v>0</v>
      </c>
      <c r="N427" s="1">
        <f t="shared" si="108"/>
        <v>0</v>
      </c>
    </row>
    <row r="428" spans="1:14" ht="12.75" customHeight="1">
      <c r="A428" s="47"/>
      <c r="B428" s="44"/>
      <c r="C428" s="44"/>
      <c r="D428" s="57"/>
      <c r="E428" s="38"/>
      <c r="F428" s="44"/>
      <c r="G428" s="44"/>
      <c r="H428" s="3" t="s">
        <v>16</v>
      </c>
      <c r="I428" s="1">
        <v>836900</v>
      </c>
      <c r="J428" s="1">
        <f>900000+159100+300000</f>
        <v>1359100</v>
      </c>
      <c r="K428" s="1"/>
      <c r="L428" s="1"/>
      <c r="M428" s="1"/>
      <c r="N428" s="1"/>
    </row>
    <row r="429" spans="1:14" ht="36" customHeight="1">
      <c r="A429" s="47"/>
      <c r="B429" s="44"/>
      <c r="C429" s="44"/>
      <c r="D429" s="57"/>
      <c r="E429" s="38"/>
      <c r="F429" s="44"/>
      <c r="G429" s="44"/>
      <c r="H429" s="5" t="s">
        <v>17</v>
      </c>
      <c r="I429" s="1"/>
      <c r="J429" s="1"/>
      <c r="K429" s="1"/>
      <c r="L429" s="1"/>
      <c r="M429" s="1"/>
      <c r="N429" s="1"/>
    </row>
    <row r="430" spans="1:14" ht="12.75" customHeight="1">
      <c r="A430" s="48"/>
      <c r="B430" s="45"/>
      <c r="C430" s="45"/>
      <c r="D430" s="30"/>
      <c r="E430" s="39"/>
      <c r="F430" s="45"/>
      <c r="G430" s="45"/>
      <c r="H430" s="3" t="s">
        <v>18</v>
      </c>
      <c r="I430" s="1"/>
      <c r="J430" s="1"/>
      <c r="K430" s="1"/>
      <c r="L430" s="1"/>
      <c r="M430" s="1"/>
      <c r="N430" s="1"/>
    </row>
    <row r="431" spans="1:14" ht="12.75" customHeight="1">
      <c r="A431" s="46">
        <v>68</v>
      </c>
      <c r="B431" s="49">
        <v>926</v>
      </c>
      <c r="C431" s="49">
        <v>92695</v>
      </c>
      <c r="D431" s="56" t="s">
        <v>77</v>
      </c>
      <c r="E431" s="37" t="s">
        <v>87</v>
      </c>
      <c r="F431" s="49" t="s">
        <v>92</v>
      </c>
      <c r="G431" s="43">
        <f>SUM(I431:N431)</f>
        <v>1563100</v>
      </c>
      <c r="H431" s="4" t="s">
        <v>15</v>
      </c>
      <c r="I431" s="1">
        <f aca="true" t="shared" si="109" ref="I431:N431">SUM(I432:I434)</f>
        <v>163100</v>
      </c>
      <c r="J431" s="1">
        <f t="shared" si="109"/>
        <v>700000</v>
      </c>
      <c r="K431" s="1">
        <f t="shared" si="109"/>
        <v>700000</v>
      </c>
      <c r="L431" s="1">
        <f t="shared" si="109"/>
        <v>0</v>
      </c>
      <c r="M431" s="1">
        <f t="shared" si="109"/>
        <v>0</v>
      </c>
      <c r="N431" s="1">
        <f t="shared" si="109"/>
        <v>0</v>
      </c>
    </row>
    <row r="432" spans="1:14" ht="12.75" customHeight="1">
      <c r="A432" s="47"/>
      <c r="B432" s="44"/>
      <c r="C432" s="44"/>
      <c r="D432" s="57"/>
      <c r="E432" s="38"/>
      <c r="F432" s="44"/>
      <c r="G432" s="44"/>
      <c r="H432" s="3" t="s">
        <v>16</v>
      </c>
      <c r="I432" s="1">
        <v>163100</v>
      </c>
      <c r="J432" s="1">
        <v>700000</v>
      </c>
      <c r="K432" s="1">
        <v>700000</v>
      </c>
      <c r="L432" s="1"/>
      <c r="M432" s="1"/>
      <c r="N432" s="1"/>
    </row>
    <row r="433" spans="1:14" ht="36" customHeight="1">
      <c r="A433" s="47"/>
      <c r="B433" s="44"/>
      <c r="C433" s="44"/>
      <c r="D433" s="57"/>
      <c r="E433" s="38"/>
      <c r="F433" s="44"/>
      <c r="G433" s="44"/>
      <c r="H433" s="5" t="s">
        <v>17</v>
      </c>
      <c r="I433" s="1"/>
      <c r="J433" s="1"/>
      <c r="K433" s="1"/>
      <c r="L433" s="1"/>
      <c r="M433" s="1"/>
      <c r="N433" s="1"/>
    </row>
    <row r="434" spans="1:14" ht="12.75" customHeight="1">
      <c r="A434" s="48"/>
      <c r="B434" s="45"/>
      <c r="C434" s="45"/>
      <c r="D434" s="30"/>
      <c r="E434" s="39"/>
      <c r="F434" s="45"/>
      <c r="G434" s="45"/>
      <c r="H434" s="3" t="s">
        <v>18</v>
      </c>
      <c r="I434" s="1"/>
      <c r="J434" s="1"/>
      <c r="K434" s="1"/>
      <c r="L434" s="1"/>
      <c r="M434" s="1"/>
      <c r="N434" s="1"/>
    </row>
    <row r="435" spans="1:14" ht="12.75" customHeight="1">
      <c r="A435" s="46">
        <v>69</v>
      </c>
      <c r="B435" s="49">
        <v>926</v>
      </c>
      <c r="C435" s="49">
        <v>92695</v>
      </c>
      <c r="D435" s="56" t="s">
        <v>131</v>
      </c>
      <c r="E435" s="37" t="s">
        <v>87</v>
      </c>
      <c r="F435" s="40" t="s">
        <v>96</v>
      </c>
      <c r="G435" s="43">
        <f>SUM(I435:N435)</f>
        <v>1500000</v>
      </c>
      <c r="H435" s="4" t="s">
        <v>15</v>
      </c>
      <c r="I435" s="1">
        <f aca="true" t="shared" si="110" ref="I435:N435">SUM(I436:I438)</f>
        <v>5000</v>
      </c>
      <c r="J435" s="1">
        <f t="shared" si="110"/>
        <v>100000</v>
      </c>
      <c r="K435" s="1">
        <f>SUM(K436:K438)</f>
        <v>500000</v>
      </c>
      <c r="L435" s="1">
        <f>SUM(L436:L438)</f>
        <v>895000</v>
      </c>
      <c r="M435" s="1">
        <f t="shared" si="110"/>
        <v>0</v>
      </c>
      <c r="N435" s="1">
        <f t="shared" si="110"/>
        <v>0</v>
      </c>
    </row>
    <row r="436" spans="1:14" ht="12.75" customHeight="1">
      <c r="A436" s="47"/>
      <c r="B436" s="44"/>
      <c r="C436" s="44"/>
      <c r="D436" s="57"/>
      <c r="E436" s="38"/>
      <c r="F436" s="41"/>
      <c r="G436" s="44"/>
      <c r="H436" s="3" t="s">
        <v>16</v>
      </c>
      <c r="I436" s="1">
        <v>5000</v>
      </c>
      <c r="J436" s="1">
        <v>50000</v>
      </c>
      <c r="K436" s="1">
        <v>250000</v>
      </c>
      <c r="L436" s="1">
        <f>500000-52500</f>
        <v>447500</v>
      </c>
      <c r="M436" s="1"/>
      <c r="N436" s="1"/>
    </row>
    <row r="437" spans="1:14" ht="36" customHeight="1">
      <c r="A437" s="47"/>
      <c r="B437" s="44"/>
      <c r="C437" s="44"/>
      <c r="D437" s="57"/>
      <c r="E437" s="38"/>
      <c r="F437" s="41"/>
      <c r="G437" s="44"/>
      <c r="H437" s="5" t="s">
        <v>17</v>
      </c>
      <c r="I437" s="1"/>
      <c r="J437" s="1"/>
      <c r="K437" s="1"/>
      <c r="L437" s="1"/>
      <c r="M437" s="1"/>
      <c r="N437" s="1"/>
    </row>
    <row r="438" spans="1:14" ht="12.75" customHeight="1">
      <c r="A438" s="48"/>
      <c r="B438" s="45"/>
      <c r="C438" s="45"/>
      <c r="D438" s="30"/>
      <c r="E438" s="39"/>
      <c r="F438" s="42"/>
      <c r="G438" s="45"/>
      <c r="H438" s="3" t="s">
        <v>18</v>
      </c>
      <c r="I438" s="1"/>
      <c r="J438" s="1">
        <v>50000</v>
      </c>
      <c r="K438" s="1">
        <v>250000</v>
      </c>
      <c r="L438" s="1">
        <f>500000-52500</f>
        <v>447500</v>
      </c>
      <c r="M438" s="1"/>
      <c r="N438" s="1"/>
    </row>
    <row r="439" spans="1:14" ht="12.75">
      <c r="A439" s="6"/>
      <c r="B439" s="7"/>
      <c r="C439" s="7"/>
      <c r="D439" s="7"/>
      <c r="E439" s="8"/>
      <c r="F439" s="6"/>
      <c r="G439" s="6"/>
      <c r="H439" s="4" t="s">
        <v>15</v>
      </c>
      <c r="I439" s="9">
        <f aca="true" t="shared" si="111" ref="I439:N439">I435+I431+I427+I423+I419+I415+I411+I407+I403+I399+I391+I387+I383+I379+I375+I371+I367+I363+I359+I355+I351+I347+I343+I339+I335+I331+I323+I319+I315+I311+I307+I303+I299+I275+I271+I267+I263+I259+I255+I251+I247+I243+I239+I235+I227+I223+I219+I215+I211+I207+I191+I187+I183+I143+I119+I111+I107+I103+I99+I95+I91+I87+I75+I35+I31+I27+I15+I231</f>
        <v>38325753.69</v>
      </c>
      <c r="J439" s="9">
        <f t="shared" si="111"/>
        <v>114538904</v>
      </c>
      <c r="K439" s="9">
        <f t="shared" si="111"/>
        <v>127013672</v>
      </c>
      <c r="L439" s="9">
        <f t="shared" si="111"/>
        <v>74023761.2</v>
      </c>
      <c r="M439" s="9">
        <f t="shared" si="111"/>
        <v>41439297.6</v>
      </c>
      <c r="N439" s="9">
        <f t="shared" si="111"/>
        <v>11520000</v>
      </c>
    </row>
    <row r="440" spans="1:14" ht="12.75">
      <c r="A440" s="6"/>
      <c r="B440" s="7"/>
      <c r="C440" s="7"/>
      <c r="D440" s="7"/>
      <c r="E440" s="8"/>
      <c r="F440" s="6"/>
      <c r="G440" s="10" t="s">
        <v>103</v>
      </c>
      <c r="H440" s="3" t="s">
        <v>16</v>
      </c>
      <c r="I440" s="9">
        <f aca="true" t="shared" si="112" ref="I440:N442">I436+I432+I428+I424+I420+I416+I412+I408+I404+I400+I392+I388+I384+I380+I376+I372+I368+I364+I360+I356+I352+I348+I344+I340+I336+I332+I324+I320+I316+I312+I308+I304+I300+I276+I272+I268+I264+I260+I256+I252+I248+I244+I240+I236+I228+I224+I220+I216+I212+I208+I192+I188+I184+I144+I120+I112+I108+I104+I100+I96+I92+I88+I76+I36+I32+I28+I16+I232</f>
        <v>25505201.8</v>
      </c>
      <c r="J440" s="9">
        <f t="shared" si="112"/>
        <v>57695333.6587</v>
      </c>
      <c r="K440" s="9">
        <f t="shared" si="112"/>
        <v>61958307.4</v>
      </c>
      <c r="L440" s="9">
        <f t="shared" si="112"/>
        <v>35306509</v>
      </c>
      <c r="M440" s="9">
        <f t="shared" si="112"/>
        <v>18887452.740000002</v>
      </c>
      <c r="N440" s="9">
        <f t="shared" si="112"/>
        <v>8370000</v>
      </c>
    </row>
    <row r="441" spans="1:14" ht="25.5" customHeight="1">
      <c r="A441" s="6"/>
      <c r="B441" s="7"/>
      <c r="C441" s="7"/>
      <c r="D441" s="7"/>
      <c r="E441" s="8"/>
      <c r="F441" s="6"/>
      <c r="G441" s="6"/>
      <c r="H441" s="5" t="s">
        <v>17</v>
      </c>
      <c r="I441" s="9">
        <f t="shared" si="112"/>
        <v>0</v>
      </c>
      <c r="J441" s="9">
        <f t="shared" si="112"/>
        <v>0</v>
      </c>
      <c r="K441" s="9">
        <f t="shared" si="112"/>
        <v>0</v>
      </c>
      <c r="L441" s="9">
        <f t="shared" si="112"/>
        <v>0</v>
      </c>
      <c r="M441" s="9">
        <f t="shared" si="112"/>
        <v>0</v>
      </c>
      <c r="N441" s="9">
        <f t="shared" si="112"/>
        <v>0</v>
      </c>
    </row>
    <row r="442" spans="1:14" ht="12.75">
      <c r="A442" s="6"/>
      <c r="B442" s="7"/>
      <c r="C442" s="7"/>
      <c r="D442" s="7"/>
      <c r="E442" s="8"/>
      <c r="F442" s="6"/>
      <c r="G442" s="6"/>
      <c r="H442" s="3" t="s">
        <v>18</v>
      </c>
      <c r="I442" s="9">
        <f t="shared" si="112"/>
        <v>12820551.89</v>
      </c>
      <c r="J442" s="9">
        <f t="shared" si="112"/>
        <v>56843570.3413</v>
      </c>
      <c r="K442" s="9">
        <f t="shared" si="112"/>
        <v>65055364.6</v>
      </c>
      <c r="L442" s="9">
        <f t="shared" si="112"/>
        <v>38717252.2</v>
      </c>
      <c r="M442" s="9">
        <f t="shared" si="112"/>
        <v>22551844.86</v>
      </c>
      <c r="N442" s="9">
        <f t="shared" si="112"/>
        <v>3150000</v>
      </c>
    </row>
    <row r="443" spans="1:14" ht="12.75">
      <c r="A443" s="6"/>
      <c r="B443" s="7"/>
      <c r="C443" s="7"/>
      <c r="D443" s="7"/>
      <c r="E443" s="8"/>
      <c r="F443" s="7"/>
      <c r="G443" s="7"/>
      <c r="H443" s="11"/>
      <c r="I443" s="7"/>
      <c r="J443" s="7"/>
      <c r="K443" s="7"/>
      <c r="L443" s="7"/>
      <c r="M443" s="7"/>
      <c r="N443" s="7"/>
    </row>
    <row r="444" spans="1:14" ht="12.75">
      <c r="A444" s="6"/>
      <c r="B444" s="7"/>
      <c r="C444" s="7"/>
      <c r="D444" s="7"/>
      <c r="E444" s="8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75">
      <c r="A445" s="6"/>
      <c r="B445" s="7"/>
      <c r="C445" s="7"/>
      <c r="D445" s="7"/>
      <c r="E445" s="8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75">
      <c r="A446" s="6"/>
      <c r="B446" s="7"/>
      <c r="C446" s="7"/>
      <c r="D446" s="7"/>
      <c r="E446" s="8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75">
      <c r="A447" s="6"/>
      <c r="B447" s="7"/>
      <c r="C447" s="7"/>
      <c r="D447" s="7"/>
      <c r="E447" s="8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75">
      <c r="A448" s="6"/>
      <c r="B448" s="7"/>
      <c r="C448" s="7"/>
      <c r="D448" s="7"/>
      <c r="E448" s="8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75">
      <c r="A449" s="6"/>
      <c r="B449" s="7"/>
      <c r="C449" s="7"/>
      <c r="D449" s="7"/>
      <c r="E449" s="8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75">
      <c r="A450" s="6"/>
      <c r="B450" s="7"/>
      <c r="C450" s="7"/>
      <c r="D450" s="7"/>
      <c r="E450" s="8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75">
      <c r="A451" s="6"/>
      <c r="B451" s="7"/>
      <c r="C451" s="7"/>
      <c r="D451" s="7"/>
      <c r="E451" s="8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75">
      <c r="A452" s="6"/>
      <c r="B452" s="7"/>
      <c r="C452" s="7"/>
      <c r="D452" s="7"/>
      <c r="E452" s="8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75">
      <c r="A453" s="6"/>
      <c r="B453" s="7"/>
      <c r="C453" s="7"/>
      <c r="D453" s="7"/>
      <c r="E453" s="8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75">
      <c r="A454" s="6"/>
      <c r="B454" s="7"/>
      <c r="C454" s="7"/>
      <c r="D454" s="7"/>
      <c r="E454" s="8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75">
      <c r="A455" s="6"/>
      <c r="B455" s="7"/>
      <c r="C455" s="7"/>
      <c r="D455" s="7"/>
      <c r="E455" s="8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75">
      <c r="A456" s="6"/>
      <c r="B456" s="7"/>
      <c r="C456" s="7"/>
      <c r="D456" s="7"/>
      <c r="E456" s="8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75">
      <c r="A457" s="6"/>
      <c r="B457" s="7"/>
      <c r="C457" s="7"/>
      <c r="D457" s="7"/>
      <c r="E457" s="8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75">
      <c r="A458" s="6"/>
      <c r="B458" s="7"/>
      <c r="C458" s="7"/>
      <c r="D458" s="7"/>
      <c r="E458" s="8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75">
      <c r="A459" s="6"/>
      <c r="B459" s="7"/>
      <c r="C459" s="7"/>
      <c r="D459" s="7"/>
      <c r="E459" s="8"/>
      <c r="F459" s="7"/>
      <c r="G459" s="7"/>
      <c r="H459" s="7"/>
      <c r="I459" s="7"/>
      <c r="J459" s="7"/>
      <c r="K459" s="7"/>
      <c r="L459" s="7"/>
      <c r="M459" s="7"/>
      <c r="N459" s="7"/>
    </row>
    <row r="460" spans="1:5" ht="12.75">
      <c r="A460" s="6"/>
      <c r="E460" s="8"/>
    </row>
    <row r="461" spans="1:5" ht="12.75">
      <c r="A461" s="6"/>
      <c r="E461" s="8"/>
    </row>
    <row r="462" spans="1:5" ht="12.75">
      <c r="A462" s="6"/>
      <c r="E462" s="8"/>
    </row>
    <row r="463" spans="1:5" ht="12.75">
      <c r="A463" s="6"/>
      <c r="E463" s="8"/>
    </row>
    <row r="464" spans="1:5" ht="12.75">
      <c r="A464" s="6"/>
      <c r="E464" s="8"/>
    </row>
    <row r="465" spans="1:5" ht="12.75">
      <c r="A465" s="6"/>
      <c r="E465" s="8"/>
    </row>
    <row r="466" spans="1:5" ht="12.75">
      <c r="A466" s="6"/>
      <c r="E466" s="8"/>
    </row>
    <row r="467" spans="1:5" ht="12.75">
      <c r="A467" s="6"/>
      <c r="E467" s="8"/>
    </row>
    <row r="468" spans="1:5" ht="12.75">
      <c r="A468" s="6"/>
      <c r="E468" s="8"/>
    </row>
    <row r="469" spans="1:5" ht="12.75">
      <c r="A469" s="6"/>
      <c r="E469" s="8"/>
    </row>
    <row r="470" spans="1:5" ht="12.75">
      <c r="A470" s="6"/>
      <c r="E470" s="8"/>
    </row>
    <row r="471" spans="1:5" ht="12.75">
      <c r="A471" s="6"/>
      <c r="E471" s="8"/>
    </row>
    <row r="472" spans="1:5" ht="12.75">
      <c r="A472" s="6"/>
      <c r="E472" s="8"/>
    </row>
    <row r="473" spans="1:5" ht="12.75">
      <c r="A473" s="6"/>
      <c r="E473" s="8"/>
    </row>
    <row r="474" spans="1:5" ht="12.75">
      <c r="A474" s="6"/>
      <c r="E474" s="8"/>
    </row>
    <row r="475" spans="1:5" ht="12.75">
      <c r="A475" s="6"/>
      <c r="E475" s="8"/>
    </row>
    <row r="476" spans="1:5" ht="12.75">
      <c r="A476" s="6"/>
      <c r="E476" s="8"/>
    </row>
    <row r="477" spans="1:5" ht="12.75">
      <c r="A477" s="6"/>
      <c r="E477" s="8"/>
    </row>
    <row r="478" spans="1:5" ht="12.75">
      <c r="A478" s="6"/>
      <c r="E478" s="8"/>
    </row>
    <row r="479" spans="1:5" ht="12.75">
      <c r="A479" s="6"/>
      <c r="E479" s="8"/>
    </row>
    <row r="480" spans="1:5" ht="12.75">
      <c r="A480" s="6"/>
      <c r="E480" s="8"/>
    </row>
    <row r="481" spans="1:5" ht="12.75">
      <c r="A481" s="6"/>
      <c r="E481" s="8"/>
    </row>
    <row r="482" spans="1:5" ht="12.75">
      <c r="A482" s="6"/>
      <c r="E482" s="8"/>
    </row>
    <row r="483" spans="1:5" ht="12.75">
      <c r="A483" s="6"/>
      <c r="E483" s="8"/>
    </row>
    <row r="484" spans="1:5" ht="12.75">
      <c r="A484" s="6"/>
      <c r="E484" s="8"/>
    </row>
    <row r="485" spans="1:5" ht="12.75">
      <c r="A485" s="6"/>
      <c r="E485" s="8"/>
    </row>
    <row r="486" spans="1:5" ht="12.75">
      <c r="A486" s="6"/>
      <c r="E486" s="8"/>
    </row>
    <row r="487" spans="1:5" ht="12.75">
      <c r="A487" s="6"/>
      <c r="E487" s="8"/>
    </row>
    <row r="488" spans="1:5" ht="12.75">
      <c r="A488" s="6"/>
      <c r="E488" s="8"/>
    </row>
    <row r="489" spans="1:5" ht="12.75">
      <c r="A489" s="6"/>
      <c r="E489" s="8"/>
    </row>
    <row r="490" spans="1:5" ht="12.75">
      <c r="A490" s="6"/>
      <c r="E490" s="8"/>
    </row>
    <row r="491" spans="1:5" ht="12.75">
      <c r="A491" s="6"/>
      <c r="E491" s="8"/>
    </row>
    <row r="492" spans="1:5" ht="12.75">
      <c r="A492" s="6"/>
      <c r="E492" s="8"/>
    </row>
    <row r="493" spans="1:5" ht="12.75">
      <c r="A493" s="6"/>
      <c r="E493" s="8"/>
    </row>
    <row r="494" spans="1:5" ht="12.75">
      <c r="A494" s="6"/>
      <c r="E494" s="8"/>
    </row>
    <row r="495" spans="1:5" ht="12.75">
      <c r="A495" s="6"/>
      <c r="E495" s="8"/>
    </row>
    <row r="496" spans="1:5" ht="12.75">
      <c r="A496" s="6"/>
      <c r="E496" s="8"/>
    </row>
    <row r="497" spans="1:5" ht="12.75">
      <c r="A497" s="6"/>
      <c r="E497" s="8"/>
    </row>
    <row r="498" spans="1:5" ht="12.75">
      <c r="A498" s="6"/>
      <c r="E498" s="8"/>
    </row>
    <row r="499" spans="1:5" ht="12.75">
      <c r="A499" s="6"/>
      <c r="E499" s="8"/>
    </row>
    <row r="500" spans="1:5" ht="12.75">
      <c r="A500" s="6"/>
      <c r="E500" s="8"/>
    </row>
    <row r="501" spans="1:5" ht="12.75">
      <c r="A501" s="6"/>
      <c r="E501" s="8"/>
    </row>
    <row r="502" ht="12.75">
      <c r="E502" s="8"/>
    </row>
    <row r="503" ht="12.75">
      <c r="E503" s="8"/>
    </row>
    <row r="504" ht="12.75">
      <c r="E504" s="8"/>
    </row>
    <row r="505" ht="12.75">
      <c r="E505" s="8"/>
    </row>
    <row r="506" ht="12.75">
      <c r="E506" s="8"/>
    </row>
    <row r="507" ht="12.75">
      <c r="E507" s="8"/>
    </row>
    <row r="508" ht="12.75">
      <c r="E508" s="8"/>
    </row>
    <row r="509" ht="12.75">
      <c r="E509" s="8"/>
    </row>
    <row r="510" ht="12.75">
      <c r="E510" s="8"/>
    </row>
    <row r="511" ht="12.75">
      <c r="E511" s="8"/>
    </row>
    <row r="512" ht="12.75">
      <c r="E512" s="8"/>
    </row>
    <row r="513" ht="12.75">
      <c r="E513" s="8"/>
    </row>
    <row r="514" ht="12.75">
      <c r="E514" s="8"/>
    </row>
    <row r="515" ht="12.75">
      <c r="E515" s="8"/>
    </row>
    <row r="516" ht="12.75">
      <c r="E516" s="8"/>
    </row>
    <row r="517" ht="12.75">
      <c r="E517" s="8"/>
    </row>
    <row r="518" ht="12.75">
      <c r="E518" s="8"/>
    </row>
    <row r="519" ht="12.75">
      <c r="E519" s="8"/>
    </row>
    <row r="520" ht="12.75">
      <c r="E520" s="8"/>
    </row>
    <row r="521" ht="12.75">
      <c r="E521" s="8"/>
    </row>
    <row r="522" ht="12.75">
      <c r="E522" s="8"/>
    </row>
    <row r="523" ht="12.75">
      <c r="E523" s="8"/>
    </row>
    <row r="524" ht="12.75">
      <c r="E524" s="8"/>
    </row>
    <row r="525" ht="12.75">
      <c r="E525" s="8"/>
    </row>
    <row r="526" ht="12.75">
      <c r="E526" s="8"/>
    </row>
    <row r="527" ht="12.75">
      <c r="E527" s="8"/>
    </row>
    <row r="528" ht="12.75">
      <c r="E528" s="8"/>
    </row>
    <row r="529" ht="12.75">
      <c r="E529" s="8"/>
    </row>
    <row r="530" ht="12.75">
      <c r="E530" s="8"/>
    </row>
    <row r="531" ht="12.75">
      <c r="E531" s="8"/>
    </row>
    <row r="532" ht="12.75">
      <c r="E532" s="8"/>
    </row>
    <row r="533" ht="12.75">
      <c r="E533" s="8"/>
    </row>
    <row r="534" ht="12.75">
      <c r="E534" s="8"/>
    </row>
    <row r="535" ht="12.75">
      <c r="E535" s="8"/>
    </row>
    <row r="536" ht="12.75">
      <c r="E536" s="8"/>
    </row>
    <row r="537" ht="12.75">
      <c r="E537" s="8"/>
    </row>
    <row r="538" ht="12.75">
      <c r="E538" s="8"/>
    </row>
    <row r="539" ht="12.75">
      <c r="E539" s="8"/>
    </row>
    <row r="540" ht="12.75">
      <c r="E540" s="8"/>
    </row>
    <row r="541" ht="12.75">
      <c r="E541" s="8"/>
    </row>
    <row r="542" ht="12.75">
      <c r="E542" s="8"/>
    </row>
    <row r="543" ht="12.75">
      <c r="E543" s="8"/>
    </row>
    <row r="544" ht="12.75">
      <c r="E544" s="8"/>
    </row>
    <row r="545" ht="12.75">
      <c r="E545" s="8"/>
    </row>
    <row r="546" ht="12.75">
      <c r="E546" s="8"/>
    </row>
    <row r="547" ht="12.75">
      <c r="E547" s="8"/>
    </row>
  </sheetData>
  <mergeCells count="754">
    <mergeCell ref="E231:E234"/>
    <mergeCell ref="F231:F234"/>
    <mergeCell ref="G231:G234"/>
    <mergeCell ref="A231:A234"/>
    <mergeCell ref="B231:B234"/>
    <mergeCell ref="C231:C234"/>
    <mergeCell ref="D231:D234"/>
    <mergeCell ref="E327:E330"/>
    <mergeCell ref="F327:F330"/>
    <mergeCell ref="G327:G330"/>
    <mergeCell ref="A327:A330"/>
    <mergeCell ref="B327:B330"/>
    <mergeCell ref="C327:C330"/>
    <mergeCell ref="D327:D330"/>
    <mergeCell ref="E295:E298"/>
    <mergeCell ref="F295:F298"/>
    <mergeCell ref="G295:G298"/>
    <mergeCell ref="A295:A298"/>
    <mergeCell ref="B295:B298"/>
    <mergeCell ref="C295:C298"/>
    <mergeCell ref="D295:D298"/>
    <mergeCell ref="F303:F306"/>
    <mergeCell ref="G303:G306"/>
    <mergeCell ref="G403:G406"/>
    <mergeCell ref="A403:A406"/>
    <mergeCell ref="B403:B406"/>
    <mergeCell ref="C403:C406"/>
    <mergeCell ref="D403:D406"/>
    <mergeCell ref="E347:E350"/>
    <mergeCell ref="C363:C366"/>
    <mergeCell ref="D363:D366"/>
    <mergeCell ref="A235:A238"/>
    <mergeCell ref="A303:A306"/>
    <mergeCell ref="B303:B306"/>
    <mergeCell ref="C303:C306"/>
    <mergeCell ref="A279:A282"/>
    <mergeCell ref="B279:B282"/>
    <mergeCell ref="C279:C282"/>
    <mergeCell ref="A259:A262"/>
    <mergeCell ref="B259:B262"/>
    <mergeCell ref="C259:C262"/>
    <mergeCell ref="E235:E238"/>
    <mergeCell ref="F235:F238"/>
    <mergeCell ref="G235:G238"/>
    <mergeCell ref="B235:B238"/>
    <mergeCell ref="E279:E282"/>
    <mergeCell ref="F279:F282"/>
    <mergeCell ref="G279:G282"/>
    <mergeCell ref="A283:A286"/>
    <mergeCell ref="B283:B286"/>
    <mergeCell ref="C283:C286"/>
    <mergeCell ref="D283:D286"/>
    <mergeCell ref="E283:E286"/>
    <mergeCell ref="F283:F286"/>
    <mergeCell ref="G283:G286"/>
    <mergeCell ref="D279:D282"/>
    <mergeCell ref="A275:A278"/>
    <mergeCell ref="B275:B278"/>
    <mergeCell ref="C275:C278"/>
    <mergeCell ref="D275:D278"/>
    <mergeCell ref="E275:E278"/>
    <mergeCell ref="F275:F278"/>
    <mergeCell ref="G275:G278"/>
    <mergeCell ref="E259:E262"/>
    <mergeCell ref="F259:F262"/>
    <mergeCell ref="G259:G262"/>
    <mergeCell ref="E267:E270"/>
    <mergeCell ref="G267:G270"/>
    <mergeCell ref="F263:F266"/>
    <mergeCell ref="G263:G266"/>
    <mergeCell ref="D259:D262"/>
    <mergeCell ref="G363:G366"/>
    <mergeCell ref="D299:D302"/>
    <mergeCell ref="D311:D314"/>
    <mergeCell ref="D331:D334"/>
    <mergeCell ref="F359:F362"/>
    <mergeCell ref="G359:G362"/>
    <mergeCell ref="F355:F358"/>
    <mergeCell ref="G355:G358"/>
    <mergeCell ref="E359:E362"/>
    <mergeCell ref="E363:E366"/>
    <mergeCell ref="C359:C362"/>
    <mergeCell ref="D359:D362"/>
    <mergeCell ref="E355:E358"/>
    <mergeCell ref="G431:G434"/>
    <mergeCell ref="A435:A438"/>
    <mergeCell ref="B435:B438"/>
    <mergeCell ref="C435:C438"/>
    <mergeCell ref="D435:D438"/>
    <mergeCell ref="E435:E438"/>
    <mergeCell ref="F435:F438"/>
    <mergeCell ref="G435:G438"/>
    <mergeCell ref="A431:A434"/>
    <mergeCell ref="B431:B434"/>
    <mergeCell ref="F363:F366"/>
    <mergeCell ref="F431:F434"/>
    <mergeCell ref="E403:E406"/>
    <mergeCell ref="F403:F406"/>
    <mergeCell ref="E427:E430"/>
    <mergeCell ref="F427:F430"/>
    <mergeCell ref="F415:F418"/>
    <mergeCell ref="F407:F410"/>
    <mergeCell ref="F411:F414"/>
    <mergeCell ref="E371:E374"/>
    <mergeCell ref="B427:B430"/>
    <mergeCell ref="C427:C430"/>
    <mergeCell ref="E431:E434"/>
    <mergeCell ref="D427:D430"/>
    <mergeCell ref="D431:D434"/>
    <mergeCell ref="C431:C434"/>
    <mergeCell ref="G427:G430"/>
    <mergeCell ref="A427:A430"/>
    <mergeCell ref="F419:F422"/>
    <mergeCell ref="G419:G422"/>
    <mergeCell ref="A423:A426"/>
    <mergeCell ref="B423:B426"/>
    <mergeCell ref="C423:C426"/>
    <mergeCell ref="D423:D426"/>
    <mergeCell ref="E423:E426"/>
    <mergeCell ref="F423:F426"/>
    <mergeCell ref="G423:G426"/>
    <mergeCell ref="D419:D422"/>
    <mergeCell ref="A419:A422"/>
    <mergeCell ref="B419:B422"/>
    <mergeCell ref="C419:C422"/>
    <mergeCell ref="E419:E422"/>
    <mergeCell ref="G415:G418"/>
    <mergeCell ref="D415:D418"/>
    <mergeCell ref="A415:A418"/>
    <mergeCell ref="B415:B418"/>
    <mergeCell ref="C415:C418"/>
    <mergeCell ref="E415:E418"/>
    <mergeCell ref="A411:A414"/>
    <mergeCell ref="B411:B414"/>
    <mergeCell ref="C411:C414"/>
    <mergeCell ref="D411:D414"/>
    <mergeCell ref="G411:G414"/>
    <mergeCell ref="E407:E410"/>
    <mergeCell ref="G407:G410"/>
    <mergeCell ref="E411:E414"/>
    <mergeCell ref="B407:B410"/>
    <mergeCell ref="C407:C410"/>
    <mergeCell ref="D407:D410"/>
    <mergeCell ref="C367:C370"/>
    <mergeCell ref="C375:C378"/>
    <mergeCell ref="D375:D378"/>
    <mergeCell ref="C383:C386"/>
    <mergeCell ref="D383:D386"/>
    <mergeCell ref="B387:B390"/>
    <mergeCell ref="C395:C398"/>
    <mergeCell ref="A355:A358"/>
    <mergeCell ref="B355:B358"/>
    <mergeCell ref="C355:C358"/>
    <mergeCell ref="B375:B378"/>
    <mergeCell ref="C371:C374"/>
    <mergeCell ref="A383:A386"/>
    <mergeCell ref="B383:B386"/>
    <mergeCell ref="B359:B362"/>
    <mergeCell ref="A371:A374"/>
    <mergeCell ref="B371:B374"/>
    <mergeCell ref="A379:A382"/>
    <mergeCell ref="B379:B382"/>
    <mergeCell ref="A407:A410"/>
    <mergeCell ref="A359:A362"/>
    <mergeCell ref="A367:A370"/>
    <mergeCell ref="B367:B370"/>
    <mergeCell ref="A363:A366"/>
    <mergeCell ref="B363:B366"/>
    <mergeCell ref="A375:A378"/>
    <mergeCell ref="A395:A398"/>
    <mergeCell ref="B395:B398"/>
    <mergeCell ref="B391:B394"/>
    <mergeCell ref="F347:F350"/>
    <mergeCell ref="G347:G350"/>
    <mergeCell ref="A351:A354"/>
    <mergeCell ref="B351:B354"/>
    <mergeCell ref="C351:C354"/>
    <mergeCell ref="D351:D354"/>
    <mergeCell ref="E351:E354"/>
    <mergeCell ref="F351:F354"/>
    <mergeCell ref="G351:G354"/>
    <mergeCell ref="A347:A350"/>
    <mergeCell ref="F339:F342"/>
    <mergeCell ref="G339:G342"/>
    <mergeCell ref="A343:A346"/>
    <mergeCell ref="B343:B346"/>
    <mergeCell ref="C343:C346"/>
    <mergeCell ref="D343:D346"/>
    <mergeCell ref="E343:E346"/>
    <mergeCell ref="F343:F346"/>
    <mergeCell ref="G343:G346"/>
    <mergeCell ref="D339:D342"/>
    <mergeCell ref="A339:A342"/>
    <mergeCell ref="B339:B342"/>
    <mergeCell ref="C339:C342"/>
    <mergeCell ref="E339:E342"/>
    <mergeCell ref="A335:A338"/>
    <mergeCell ref="B335:B338"/>
    <mergeCell ref="C335:C338"/>
    <mergeCell ref="D335:D338"/>
    <mergeCell ref="F331:F334"/>
    <mergeCell ref="G331:G334"/>
    <mergeCell ref="E335:E338"/>
    <mergeCell ref="F335:F338"/>
    <mergeCell ref="G335:G338"/>
    <mergeCell ref="E331:E334"/>
    <mergeCell ref="A331:A334"/>
    <mergeCell ref="A315:A318"/>
    <mergeCell ref="B315:B318"/>
    <mergeCell ref="C315:C318"/>
    <mergeCell ref="A319:A322"/>
    <mergeCell ref="B319:B322"/>
    <mergeCell ref="C319:C322"/>
    <mergeCell ref="A323:A326"/>
    <mergeCell ref="B323:B326"/>
    <mergeCell ref="C323:C326"/>
    <mergeCell ref="D315:D318"/>
    <mergeCell ref="E315:E318"/>
    <mergeCell ref="F315:F318"/>
    <mergeCell ref="G315:G318"/>
    <mergeCell ref="F311:F314"/>
    <mergeCell ref="G311:G314"/>
    <mergeCell ref="A311:A314"/>
    <mergeCell ref="B311:B314"/>
    <mergeCell ref="C311:C314"/>
    <mergeCell ref="E299:E302"/>
    <mergeCell ref="B299:B302"/>
    <mergeCell ref="C299:C302"/>
    <mergeCell ref="E311:E314"/>
    <mergeCell ref="D303:D306"/>
    <mergeCell ref="E303:E306"/>
    <mergeCell ref="F267:F270"/>
    <mergeCell ref="F299:F302"/>
    <mergeCell ref="G299:G302"/>
    <mergeCell ref="A307:A310"/>
    <mergeCell ref="B307:B310"/>
    <mergeCell ref="C307:C310"/>
    <mergeCell ref="D307:D310"/>
    <mergeCell ref="E307:E310"/>
    <mergeCell ref="F307:F310"/>
    <mergeCell ref="G307:G310"/>
    <mergeCell ref="A267:A270"/>
    <mergeCell ref="E263:E266"/>
    <mergeCell ref="B263:B266"/>
    <mergeCell ref="C263:C266"/>
    <mergeCell ref="D263:D266"/>
    <mergeCell ref="A263:A266"/>
    <mergeCell ref="B267:B270"/>
    <mergeCell ref="C267:C270"/>
    <mergeCell ref="D267:D270"/>
    <mergeCell ref="D255:D258"/>
    <mergeCell ref="E203:E206"/>
    <mergeCell ref="E199:E202"/>
    <mergeCell ref="E175:E178"/>
    <mergeCell ref="D243:D246"/>
    <mergeCell ref="E243:E246"/>
    <mergeCell ref="E207:E210"/>
    <mergeCell ref="D207:D210"/>
    <mergeCell ref="E195:E198"/>
    <mergeCell ref="D235:D238"/>
    <mergeCell ref="D147:D150"/>
    <mergeCell ref="D155:D158"/>
    <mergeCell ref="D159:D162"/>
    <mergeCell ref="D163:D166"/>
    <mergeCell ref="F243:F246"/>
    <mergeCell ref="G243:G246"/>
    <mergeCell ref="E255:E258"/>
    <mergeCell ref="F255:F258"/>
    <mergeCell ref="G255:G258"/>
    <mergeCell ref="G247:G250"/>
    <mergeCell ref="E247:E250"/>
    <mergeCell ref="A247:A250"/>
    <mergeCell ref="B247:B250"/>
    <mergeCell ref="E239:E242"/>
    <mergeCell ref="F239:F242"/>
    <mergeCell ref="C239:C242"/>
    <mergeCell ref="F247:F250"/>
    <mergeCell ref="C247:C250"/>
    <mergeCell ref="A243:A246"/>
    <mergeCell ref="B243:B246"/>
    <mergeCell ref="C243:C246"/>
    <mergeCell ref="A239:A242"/>
    <mergeCell ref="B239:B242"/>
    <mergeCell ref="C227:C230"/>
    <mergeCell ref="G227:G230"/>
    <mergeCell ref="A227:A230"/>
    <mergeCell ref="E227:E230"/>
    <mergeCell ref="F227:F230"/>
    <mergeCell ref="B227:B230"/>
    <mergeCell ref="G239:G242"/>
    <mergeCell ref="C235:C238"/>
    <mergeCell ref="G223:G226"/>
    <mergeCell ref="A223:A226"/>
    <mergeCell ref="B219:B222"/>
    <mergeCell ref="C219:C222"/>
    <mergeCell ref="E223:E226"/>
    <mergeCell ref="E219:E222"/>
    <mergeCell ref="D219:D222"/>
    <mergeCell ref="D223:D226"/>
    <mergeCell ref="B223:B226"/>
    <mergeCell ref="C223:C226"/>
    <mergeCell ref="F223:F226"/>
    <mergeCell ref="G219:G222"/>
    <mergeCell ref="A219:A222"/>
    <mergeCell ref="G211:G214"/>
    <mergeCell ref="A215:A218"/>
    <mergeCell ref="B215:B218"/>
    <mergeCell ref="C215:C218"/>
    <mergeCell ref="D215:D218"/>
    <mergeCell ref="E215:E218"/>
    <mergeCell ref="F215:F218"/>
    <mergeCell ref="G215:G218"/>
    <mergeCell ref="A211:A214"/>
    <mergeCell ref="B211:B214"/>
    <mergeCell ref="C211:C214"/>
    <mergeCell ref="F211:F214"/>
    <mergeCell ref="E211:E214"/>
    <mergeCell ref="D211:D214"/>
    <mergeCell ref="F207:F210"/>
    <mergeCell ref="G207:G210"/>
    <mergeCell ref="F199:F202"/>
    <mergeCell ref="A203:A206"/>
    <mergeCell ref="A207:A210"/>
    <mergeCell ref="B207:B210"/>
    <mergeCell ref="C207:C210"/>
    <mergeCell ref="B203:B206"/>
    <mergeCell ref="C203:C206"/>
    <mergeCell ref="D199:D202"/>
    <mergeCell ref="A179:A182"/>
    <mergeCell ref="A195:A198"/>
    <mergeCell ref="B195:B198"/>
    <mergeCell ref="C195:C198"/>
    <mergeCell ref="B179:B182"/>
    <mergeCell ref="C179:C182"/>
    <mergeCell ref="B191:B194"/>
    <mergeCell ref="G175:G178"/>
    <mergeCell ref="D175:D178"/>
    <mergeCell ref="G199:G202"/>
    <mergeCell ref="F203:F206"/>
    <mergeCell ref="G203:G206"/>
    <mergeCell ref="G195:G198"/>
    <mergeCell ref="D191:D194"/>
    <mergeCell ref="D195:D198"/>
    <mergeCell ref="F179:F182"/>
    <mergeCell ref="G179:G182"/>
    <mergeCell ref="G191:G194"/>
    <mergeCell ref="D179:D182"/>
    <mergeCell ref="F195:F198"/>
    <mergeCell ref="F187:F190"/>
    <mergeCell ref="B171:B174"/>
    <mergeCell ref="C171:C174"/>
    <mergeCell ref="E171:E174"/>
    <mergeCell ref="E179:E182"/>
    <mergeCell ref="F171:F174"/>
    <mergeCell ref="F175:F178"/>
    <mergeCell ref="E191:E194"/>
    <mergeCell ref="F191:F194"/>
    <mergeCell ref="E187:E190"/>
    <mergeCell ref="E155:E158"/>
    <mergeCell ref="F155:F158"/>
    <mergeCell ref="G155:G158"/>
    <mergeCell ref="F159:F162"/>
    <mergeCell ref="G159:G162"/>
    <mergeCell ref="E159:E162"/>
    <mergeCell ref="E163:E166"/>
    <mergeCell ref="F163:F166"/>
    <mergeCell ref="G163:G166"/>
    <mergeCell ref="F167:F170"/>
    <mergeCell ref="G167:G170"/>
    <mergeCell ref="G171:G174"/>
    <mergeCell ref="E167:E170"/>
    <mergeCell ref="B251:B254"/>
    <mergeCell ref="C251:C254"/>
    <mergeCell ref="D247:D250"/>
    <mergeCell ref="F251:F254"/>
    <mergeCell ref="E183:E186"/>
    <mergeCell ref="F183:F186"/>
    <mergeCell ref="G183:G186"/>
    <mergeCell ref="F219:F222"/>
    <mergeCell ref="B163:B166"/>
    <mergeCell ref="D227:D230"/>
    <mergeCell ref="D239:D242"/>
    <mergeCell ref="D203:D206"/>
    <mergeCell ref="B187:B190"/>
    <mergeCell ref="C187:C190"/>
    <mergeCell ref="D187:D190"/>
    <mergeCell ref="D183:D186"/>
    <mergeCell ref="D167:D170"/>
    <mergeCell ref="D171:D174"/>
    <mergeCell ref="F147:F150"/>
    <mergeCell ref="G147:G150"/>
    <mergeCell ref="A151:A154"/>
    <mergeCell ref="B151:B154"/>
    <mergeCell ref="C151:C154"/>
    <mergeCell ref="D151:D154"/>
    <mergeCell ref="E151:E154"/>
    <mergeCell ref="F151:F154"/>
    <mergeCell ref="G151:G154"/>
    <mergeCell ref="A147:A150"/>
    <mergeCell ref="B147:B150"/>
    <mergeCell ref="C147:C150"/>
    <mergeCell ref="E251:E254"/>
    <mergeCell ref="D251:D254"/>
    <mergeCell ref="E147:E150"/>
    <mergeCell ref="B175:B178"/>
    <mergeCell ref="C175:C178"/>
    <mergeCell ref="B159:B162"/>
    <mergeCell ref="C159:C162"/>
    <mergeCell ref="B167:B170"/>
    <mergeCell ref="C155:C158"/>
    <mergeCell ref="A251:A254"/>
    <mergeCell ref="A175:A178"/>
    <mergeCell ref="A191:A194"/>
    <mergeCell ref="A159:A162"/>
    <mergeCell ref="A167:A170"/>
    <mergeCell ref="C167:C170"/>
    <mergeCell ref="A163:A166"/>
    <mergeCell ref="A171:A174"/>
    <mergeCell ref="C163:C166"/>
    <mergeCell ref="G139:G142"/>
    <mergeCell ref="A143:A146"/>
    <mergeCell ref="B143:B146"/>
    <mergeCell ref="C143:C146"/>
    <mergeCell ref="D143:D146"/>
    <mergeCell ref="E143:E146"/>
    <mergeCell ref="F143:F146"/>
    <mergeCell ref="G143:G146"/>
    <mergeCell ref="A139:A142"/>
    <mergeCell ref="B139:B142"/>
    <mergeCell ref="E135:E138"/>
    <mergeCell ref="F135:F138"/>
    <mergeCell ref="G135:G138"/>
    <mergeCell ref="D115:D118"/>
    <mergeCell ref="E131:E134"/>
    <mergeCell ref="F131:F134"/>
    <mergeCell ref="D127:D130"/>
    <mergeCell ref="D131:D134"/>
    <mergeCell ref="D135:D138"/>
    <mergeCell ref="E127:E130"/>
    <mergeCell ref="E111:E114"/>
    <mergeCell ref="F111:F114"/>
    <mergeCell ref="G111:G114"/>
    <mergeCell ref="E123:E126"/>
    <mergeCell ref="F123:F126"/>
    <mergeCell ref="G123:G126"/>
    <mergeCell ref="C139:C142"/>
    <mergeCell ref="D139:D142"/>
    <mergeCell ref="E139:E142"/>
    <mergeCell ref="F139:F142"/>
    <mergeCell ref="A135:A138"/>
    <mergeCell ref="B135:B138"/>
    <mergeCell ref="A155:A158"/>
    <mergeCell ref="C127:C130"/>
    <mergeCell ref="A131:A134"/>
    <mergeCell ref="B131:B134"/>
    <mergeCell ref="C131:C134"/>
    <mergeCell ref="C135:C138"/>
    <mergeCell ref="B155:B158"/>
    <mergeCell ref="A127:A130"/>
    <mergeCell ref="A119:A122"/>
    <mergeCell ref="B119:B122"/>
    <mergeCell ref="C119:C122"/>
    <mergeCell ref="D119:D122"/>
    <mergeCell ref="A123:A126"/>
    <mergeCell ref="B123:B126"/>
    <mergeCell ref="C123:C126"/>
    <mergeCell ref="D123:D126"/>
    <mergeCell ref="D111:D114"/>
    <mergeCell ref="G251:G254"/>
    <mergeCell ref="G187:G190"/>
    <mergeCell ref="E115:E118"/>
    <mergeCell ref="F115:F118"/>
    <mergeCell ref="G115:G118"/>
    <mergeCell ref="E119:E122"/>
    <mergeCell ref="F119:F122"/>
    <mergeCell ref="G119:G122"/>
    <mergeCell ref="G131:G134"/>
    <mergeCell ref="A107:A110"/>
    <mergeCell ref="B107:B110"/>
    <mergeCell ref="C107:C110"/>
    <mergeCell ref="D107:D110"/>
    <mergeCell ref="D103:D106"/>
    <mergeCell ref="E107:E110"/>
    <mergeCell ref="G107:G110"/>
    <mergeCell ref="F99:F102"/>
    <mergeCell ref="E103:E106"/>
    <mergeCell ref="F103:F106"/>
    <mergeCell ref="E99:E102"/>
    <mergeCell ref="G99:G102"/>
    <mergeCell ref="G103:G106"/>
    <mergeCell ref="D99:D102"/>
    <mergeCell ref="B127:B130"/>
    <mergeCell ref="B115:B118"/>
    <mergeCell ref="C115:C118"/>
    <mergeCell ref="B103:B106"/>
    <mergeCell ref="C103:C106"/>
    <mergeCell ref="A115:A118"/>
    <mergeCell ref="A95:A98"/>
    <mergeCell ref="B95:B98"/>
    <mergeCell ref="C95:C98"/>
    <mergeCell ref="A99:A102"/>
    <mergeCell ref="B99:B102"/>
    <mergeCell ref="A103:A106"/>
    <mergeCell ref="A111:A114"/>
    <mergeCell ref="B111:B114"/>
    <mergeCell ref="C111:C114"/>
    <mergeCell ref="A27:A30"/>
    <mergeCell ref="B27:B30"/>
    <mergeCell ref="C27:C30"/>
    <mergeCell ref="A91:A94"/>
    <mergeCell ref="B91:B94"/>
    <mergeCell ref="C91:C94"/>
    <mergeCell ref="A43:A46"/>
    <mergeCell ref="B43:B46"/>
    <mergeCell ref="C43:C46"/>
    <mergeCell ref="A47:A50"/>
    <mergeCell ref="E19:E22"/>
    <mergeCell ref="F19:F22"/>
    <mergeCell ref="G15:G18"/>
    <mergeCell ref="C15:C18"/>
    <mergeCell ref="D15:D18"/>
    <mergeCell ref="E15:E18"/>
    <mergeCell ref="F15:F18"/>
    <mergeCell ref="D19:D22"/>
    <mergeCell ref="C19:C22"/>
    <mergeCell ref="G19:G22"/>
    <mergeCell ref="A15:A18"/>
    <mergeCell ref="A19:A22"/>
    <mergeCell ref="B15:B18"/>
    <mergeCell ref="B19:B22"/>
    <mergeCell ref="E23:E26"/>
    <mergeCell ref="F23:F26"/>
    <mergeCell ref="G23:G26"/>
    <mergeCell ref="D27:D30"/>
    <mergeCell ref="E27:E30"/>
    <mergeCell ref="A23:A26"/>
    <mergeCell ref="B23:B26"/>
    <mergeCell ref="C23:C26"/>
    <mergeCell ref="D23:D26"/>
    <mergeCell ref="A31:A34"/>
    <mergeCell ref="B31:B34"/>
    <mergeCell ref="C31:C34"/>
    <mergeCell ref="G35:G38"/>
    <mergeCell ref="D31:D34"/>
    <mergeCell ref="E31:E34"/>
    <mergeCell ref="F31:F34"/>
    <mergeCell ref="G31:G34"/>
    <mergeCell ref="A35:A38"/>
    <mergeCell ref="B35:B38"/>
    <mergeCell ref="C35:C38"/>
    <mergeCell ref="D35:D38"/>
    <mergeCell ref="E39:E42"/>
    <mergeCell ref="F39:F42"/>
    <mergeCell ref="G39:G42"/>
    <mergeCell ref="F27:F30"/>
    <mergeCell ref="E35:E38"/>
    <mergeCell ref="F35:F38"/>
    <mergeCell ref="G27:G30"/>
    <mergeCell ref="D51:D54"/>
    <mergeCell ref="A39:A42"/>
    <mergeCell ref="B39:B42"/>
    <mergeCell ref="C39:C42"/>
    <mergeCell ref="D39:D42"/>
    <mergeCell ref="D43:D46"/>
    <mergeCell ref="E47:E50"/>
    <mergeCell ref="F47:F50"/>
    <mergeCell ref="G47:G50"/>
    <mergeCell ref="E43:E46"/>
    <mergeCell ref="F43:F46"/>
    <mergeCell ref="G43:G46"/>
    <mergeCell ref="D59:D62"/>
    <mergeCell ref="G67:G70"/>
    <mergeCell ref="G63:G66"/>
    <mergeCell ref="E51:E54"/>
    <mergeCell ref="F51:F54"/>
    <mergeCell ref="E59:E62"/>
    <mergeCell ref="E63:E66"/>
    <mergeCell ref="E55:E58"/>
    <mergeCell ref="F55:F58"/>
    <mergeCell ref="G55:G58"/>
    <mergeCell ref="G79:G82"/>
    <mergeCell ref="B47:B50"/>
    <mergeCell ref="C47:C50"/>
    <mergeCell ref="D47:D50"/>
    <mergeCell ref="G51:G54"/>
    <mergeCell ref="D75:D78"/>
    <mergeCell ref="D79:D82"/>
    <mergeCell ref="E71:E74"/>
    <mergeCell ref="F71:F74"/>
    <mergeCell ref="C59:C62"/>
    <mergeCell ref="E91:E94"/>
    <mergeCell ref="D91:D94"/>
    <mergeCell ref="D95:D98"/>
    <mergeCell ref="E95:E98"/>
    <mergeCell ref="C71:C74"/>
    <mergeCell ref="D71:D74"/>
    <mergeCell ref="E87:E90"/>
    <mergeCell ref="D83:D86"/>
    <mergeCell ref="E83:E86"/>
    <mergeCell ref="E75:E78"/>
    <mergeCell ref="C87:C90"/>
    <mergeCell ref="D87:D90"/>
    <mergeCell ref="C75:C78"/>
    <mergeCell ref="A71:A74"/>
    <mergeCell ref="B71:B74"/>
    <mergeCell ref="A75:A78"/>
    <mergeCell ref="B75:B78"/>
    <mergeCell ref="C99:C102"/>
    <mergeCell ref="A79:A82"/>
    <mergeCell ref="B79:B82"/>
    <mergeCell ref="C79:C82"/>
    <mergeCell ref="A83:A86"/>
    <mergeCell ref="B83:B86"/>
    <mergeCell ref="C83:C86"/>
    <mergeCell ref="A87:A90"/>
    <mergeCell ref="B87:B90"/>
    <mergeCell ref="A67:A70"/>
    <mergeCell ref="B67:B70"/>
    <mergeCell ref="C67:C70"/>
    <mergeCell ref="E67:E70"/>
    <mergeCell ref="D67:D70"/>
    <mergeCell ref="F87:F90"/>
    <mergeCell ref="F107:F110"/>
    <mergeCell ref="F91:F94"/>
    <mergeCell ref="F95:F98"/>
    <mergeCell ref="F83:F86"/>
    <mergeCell ref="F75:F78"/>
    <mergeCell ref="E79:E82"/>
    <mergeCell ref="F79:F82"/>
    <mergeCell ref="A63:A66"/>
    <mergeCell ref="B63:B66"/>
    <mergeCell ref="C63:C66"/>
    <mergeCell ref="D63:D66"/>
    <mergeCell ref="A51:A54"/>
    <mergeCell ref="B51:B54"/>
    <mergeCell ref="C51:C54"/>
    <mergeCell ref="A55:A58"/>
    <mergeCell ref="B55:B58"/>
    <mergeCell ref="C55:C58"/>
    <mergeCell ref="A255:A258"/>
    <mergeCell ref="B255:B258"/>
    <mergeCell ref="C255:C258"/>
    <mergeCell ref="A183:A186"/>
    <mergeCell ref="B183:B186"/>
    <mergeCell ref="C183:C186"/>
    <mergeCell ref="A187:A190"/>
    <mergeCell ref="A199:A202"/>
    <mergeCell ref="B199:B202"/>
    <mergeCell ref="C191:C194"/>
    <mergeCell ref="A59:A62"/>
    <mergeCell ref="B59:B62"/>
    <mergeCell ref="I9:N11"/>
    <mergeCell ref="E9:E13"/>
    <mergeCell ref="H9:H13"/>
    <mergeCell ref="A9:A13"/>
    <mergeCell ref="B9:B13"/>
    <mergeCell ref="C9:C13"/>
    <mergeCell ref="D9:D13"/>
    <mergeCell ref="D55:D58"/>
    <mergeCell ref="C199:C202"/>
    <mergeCell ref="F59:F62"/>
    <mergeCell ref="G59:G62"/>
    <mergeCell ref="F63:F66"/>
    <mergeCell ref="F127:F130"/>
    <mergeCell ref="G71:G74"/>
    <mergeCell ref="F67:F70"/>
    <mergeCell ref="G95:G98"/>
    <mergeCell ref="G91:G94"/>
    <mergeCell ref="G127:G130"/>
    <mergeCell ref="F371:F374"/>
    <mergeCell ref="G371:G374"/>
    <mergeCell ref="G9:G13"/>
    <mergeCell ref="E367:E370"/>
    <mergeCell ref="F367:F370"/>
    <mergeCell ref="G367:G370"/>
    <mergeCell ref="G87:G90"/>
    <mergeCell ref="G83:G86"/>
    <mergeCell ref="G75:G78"/>
    <mergeCell ref="G323:G326"/>
    <mergeCell ref="E375:E378"/>
    <mergeCell ref="F375:F378"/>
    <mergeCell ref="G375:G378"/>
    <mergeCell ref="C379:C382"/>
    <mergeCell ref="D379:D382"/>
    <mergeCell ref="E379:E382"/>
    <mergeCell ref="F387:F390"/>
    <mergeCell ref="F379:F382"/>
    <mergeCell ref="G379:G382"/>
    <mergeCell ref="E383:E386"/>
    <mergeCell ref="F383:F386"/>
    <mergeCell ref="G383:G386"/>
    <mergeCell ref="G387:G390"/>
    <mergeCell ref="D395:D398"/>
    <mergeCell ref="E395:E398"/>
    <mergeCell ref="F395:F398"/>
    <mergeCell ref="G395:G398"/>
    <mergeCell ref="A387:A390"/>
    <mergeCell ref="A391:A394"/>
    <mergeCell ref="A399:A402"/>
    <mergeCell ref="B399:B402"/>
    <mergeCell ref="C399:C402"/>
    <mergeCell ref="D399:D402"/>
    <mergeCell ref="E399:E402"/>
    <mergeCell ref="F399:F402"/>
    <mergeCell ref="G399:G402"/>
    <mergeCell ref="E271:E274"/>
    <mergeCell ref="F271:F274"/>
    <mergeCell ref="G271:G274"/>
    <mergeCell ref="E391:E394"/>
    <mergeCell ref="F391:F394"/>
    <mergeCell ref="G391:G394"/>
    <mergeCell ref="E387:E390"/>
    <mergeCell ref="E323:E326"/>
    <mergeCell ref="F323:F326"/>
    <mergeCell ref="A271:A274"/>
    <mergeCell ref="B271:B274"/>
    <mergeCell ref="C271:C274"/>
    <mergeCell ref="D271:D274"/>
    <mergeCell ref="D319:D322"/>
    <mergeCell ref="E319:E322"/>
    <mergeCell ref="F319:F322"/>
    <mergeCell ref="G319:G322"/>
    <mergeCell ref="A299:A302"/>
    <mergeCell ref="C391:C394"/>
    <mergeCell ref="D391:D394"/>
    <mergeCell ref="D323:D326"/>
    <mergeCell ref="C387:C390"/>
    <mergeCell ref="D387:D390"/>
    <mergeCell ref="D371:D374"/>
    <mergeCell ref="D367:D370"/>
    <mergeCell ref="D347:D350"/>
    <mergeCell ref="D355:D358"/>
    <mergeCell ref="B331:B334"/>
    <mergeCell ref="C331:C334"/>
    <mergeCell ref="B347:B350"/>
    <mergeCell ref="C347:C350"/>
    <mergeCell ref="A7:N7"/>
    <mergeCell ref="L5:N5"/>
    <mergeCell ref="L6:N6"/>
    <mergeCell ref="I4:N4"/>
    <mergeCell ref="A287:A290"/>
    <mergeCell ref="B287:B290"/>
    <mergeCell ref="C287:C290"/>
    <mergeCell ref="D287:D290"/>
    <mergeCell ref="E287:E290"/>
    <mergeCell ref="F287:F290"/>
    <mergeCell ref="G287:G290"/>
    <mergeCell ref="A291:A294"/>
    <mergeCell ref="B291:B294"/>
    <mergeCell ref="C291:C294"/>
    <mergeCell ref="D291:D294"/>
    <mergeCell ref="E291:E294"/>
    <mergeCell ref="F291:F294"/>
    <mergeCell ref="G291:G29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2" r:id="rId1"/>
  <rowBreaks count="8" manualBreakCount="8">
    <brk id="14" max="13" man="1"/>
    <brk id="114" max="13" man="1"/>
    <brk id="170" max="13" man="1"/>
    <brk id="218" max="13" man="1"/>
    <brk id="266" max="13" man="1"/>
    <brk id="310" max="13" man="1"/>
    <brk id="358" max="13" man="1"/>
    <brk id="398" max="13" man="1"/>
  </rowBreaks>
  <colBreaks count="1" manualBreakCount="1">
    <brk id="3" max="4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Urzad Miasta</cp:lastModifiedBy>
  <cp:lastPrinted>2008-09-16T06:51:22Z</cp:lastPrinted>
  <dcterms:created xsi:type="dcterms:W3CDTF">2007-11-02T10:04:03Z</dcterms:created>
  <dcterms:modified xsi:type="dcterms:W3CDTF">2008-12-08T14:32:21Z</dcterms:modified>
  <cp:category/>
  <cp:version/>
  <cp:contentType/>
  <cp:contentStatus/>
</cp:coreProperties>
</file>